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360" yWindow="885" windowWidth="12390" windowHeight="7620" tabRatio="485" firstSheet="4" activeTab="4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прил. 4" sheetId="1" r:id="rId5"/>
    <sheet name="прил. 6" sheetId="6" r:id="rId6"/>
    <sheet name="прил. 8" sheetId="5" r:id="rId7"/>
  </sheets>
  <definedNames>
    <definedName name="_xlnm._FilterDatabase" localSheetId="2" hidden="1">КЦСР!$A$1:$E$302</definedName>
    <definedName name="_xlnm._FilterDatabase" localSheetId="5" hidden="1">'прил. 6'!$A$16:$N$1466</definedName>
    <definedName name="_xlnm._FilterDatabase" localSheetId="6" hidden="1">'прил. 8'!$A$17:$O$1326</definedName>
    <definedName name="sub_3870" localSheetId="3">КВР!$A$30</definedName>
    <definedName name="_xlnm.Print_Titles" localSheetId="4">'прил. 4'!$18:$18</definedName>
    <definedName name="_xlnm.Print_Titles" localSheetId="5">'прил. 6'!$16:$16</definedName>
    <definedName name="_xlnm.Print_Titles" localSheetId="6">'прил. 8'!$17:$17</definedName>
    <definedName name="Код_КВР">КВР!$A$2:$A$30</definedName>
    <definedName name="Код_КЦСР">КЦСР!$A$2:$A$347</definedName>
    <definedName name="Код_ППП">ППП!$A$2:$A$13</definedName>
    <definedName name="Код_ПР">#REF!</definedName>
    <definedName name="Код_Раздел">Раздел!$A$2:$A$13</definedName>
    <definedName name="_xlnm.Print_Area" localSheetId="3">КВР!$A$1:$B$15</definedName>
    <definedName name="_xlnm.Print_Area" localSheetId="2">КЦСР!$A$1:$B$305</definedName>
    <definedName name="_xlnm.Print_Area" localSheetId="4">'прил. 4'!$A$1:$L$68</definedName>
    <definedName name="_xlnm.Print_Area" localSheetId="5">'прил. 6'!$A$1:$N$1466</definedName>
    <definedName name="_xlnm.Print_Area" localSheetId="6">'прил. 8'!$A$1:$O$1325</definedName>
  </definedNames>
  <calcPr calcId="145621"/>
</workbook>
</file>

<file path=xl/calcChain.xml><?xml version="1.0" encoding="utf-8"?>
<calcChain xmlns="http://schemas.openxmlformats.org/spreadsheetml/2006/main">
  <c r="O1227" i="5" l="1"/>
  <c r="O1200" i="5"/>
  <c r="O827" i="5"/>
  <c r="O769" i="5"/>
  <c r="O763" i="5"/>
  <c r="O688" i="5"/>
  <c r="O547" i="5"/>
  <c r="O544" i="5"/>
  <c r="O411" i="5"/>
  <c r="N66" i="6"/>
  <c r="M1002" i="6" l="1"/>
  <c r="N1002" i="6" s="1"/>
  <c r="M997" i="6"/>
  <c r="N997" i="6" s="1"/>
  <c r="N1226" i="5"/>
  <c r="O1226" i="5" s="1"/>
  <c r="M248" i="6"/>
  <c r="N248" i="6" s="1"/>
  <c r="N687" i="5"/>
  <c r="O687" i="5" s="1"/>
  <c r="I685" i="5"/>
  <c r="K685" i="5" s="1"/>
  <c r="M685" i="5" s="1"/>
  <c r="O685" i="5" s="1"/>
  <c r="N1165" i="5"/>
  <c r="F243" i="6"/>
  <c r="G243" i="6"/>
  <c r="I243" i="6"/>
  <c r="K243" i="6"/>
  <c r="M243" i="6"/>
  <c r="A688" i="5"/>
  <c r="A685" i="5"/>
  <c r="A243" i="6"/>
  <c r="A1001" i="6"/>
  <c r="A686" i="5"/>
  <c r="A993" i="6"/>
  <c r="A245" i="6"/>
  <c r="A1226" i="5"/>
  <c r="A682" i="5"/>
  <c r="A247" i="6"/>
  <c r="A248" i="6"/>
  <c r="A996" i="6"/>
  <c r="A1225" i="5"/>
  <c r="A1222" i="5"/>
  <c r="A1227" i="5"/>
  <c r="A687" i="5"/>
  <c r="A997" i="6"/>
  <c r="A994" i="6"/>
  <c r="A1002" i="6"/>
  <c r="A999" i="6"/>
  <c r="A998" i="6"/>
  <c r="A244" i="6"/>
  <c r="N686" i="5" l="1"/>
  <c r="O686" i="5" s="1"/>
  <c r="M1001" i="6"/>
  <c r="N1001" i="6" s="1"/>
  <c r="M996" i="6"/>
  <c r="N1225" i="5"/>
  <c r="O1225" i="5" s="1"/>
  <c r="H243" i="6"/>
  <c r="J243" i="6" s="1"/>
  <c r="L243" i="6" s="1"/>
  <c r="N243" i="6" s="1"/>
  <c r="M247" i="6"/>
  <c r="N247" i="6" s="1"/>
  <c r="M253" i="6"/>
  <c r="A253" i="6"/>
  <c r="A250" i="6"/>
  <c r="A255" i="6"/>
  <c r="A252" i="6"/>
  <c r="A258" i="6"/>
  <c r="A257" i="6"/>
  <c r="A254" i="6"/>
  <c r="A249" i="6"/>
  <c r="M252" i="6" l="1"/>
  <c r="N252" i="6" s="1"/>
  <c r="N253" i="6"/>
  <c r="M1000" i="6"/>
  <c r="N1000" i="6" s="1"/>
  <c r="M995" i="6"/>
  <c r="N996" i="6"/>
  <c r="M999" i="6"/>
  <c r="N999" i="6" s="1"/>
  <c r="M246" i="6"/>
  <c r="N246" i="6" s="1"/>
  <c r="M251" i="6"/>
  <c r="N251" i="6" s="1"/>
  <c r="N766" i="5"/>
  <c r="O766" i="5" s="1"/>
  <c r="N762" i="5"/>
  <c r="A763" i="5"/>
  <c r="A760" i="5"/>
  <c r="A762" i="5"/>
  <c r="A766" i="5"/>
  <c r="A761" i="5"/>
  <c r="A765" i="5"/>
  <c r="A764" i="5"/>
  <c r="N995" i="6" l="1"/>
  <c r="M994" i="6"/>
  <c r="N761" i="5"/>
  <c r="O761" i="5" s="1"/>
  <c r="O762" i="5"/>
  <c r="M998" i="6"/>
  <c r="N998" i="6" s="1"/>
  <c r="M245" i="6"/>
  <c r="N245" i="6" s="1"/>
  <c r="N765" i="5"/>
  <c r="M258" i="6"/>
  <c r="N258" i="6" s="1"/>
  <c r="M250" i="6"/>
  <c r="N250" i="6" s="1"/>
  <c r="N994" i="6" l="1"/>
  <c r="M993" i="6"/>
  <c r="N993" i="6" s="1"/>
  <c r="N764" i="5"/>
  <c r="O765" i="5"/>
  <c r="M244" i="6"/>
  <c r="N244" i="6" s="1"/>
  <c r="M257" i="6"/>
  <c r="N257" i="6" s="1"/>
  <c r="M249" i="6"/>
  <c r="N249" i="6" s="1"/>
  <c r="N760" i="5" l="1"/>
  <c r="O760" i="5" s="1"/>
  <c r="O764" i="5"/>
  <c r="M256" i="6"/>
  <c r="N256" i="6" s="1"/>
  <c r="N1216" i="5"/>
  <c r="N1209" i="5"/>
  <c r="N1183" i="5"/>
  <c r="N1161" i="5"/>
  <c r="N1111" i="5"/>
  <c r="N1245" i="5"/>
  <c r="M263" i="6"/>
  <c r="A262" i="6"/>
  <c r="A260" i="6"/>
  <c r="A263" i="6"/>
  <c r="A259" i="6"/>
  <c r="A238" i="6"/>
  <c r="M262" i="6" l="1"/>
  <c r="N262" i="6" s="1"/>
  <c r="N263" i="6"/>
  <c r="M255" i="6"/>
  <c r="N255" i="6" s="1"/>
  <c r="M261" i="6"/>
  <c r="N261" i="6" s="1"/>
  <c r="N768" i="5"/>
  <c r="A769" i="5"/>
  <c r="A768" i="5"/>
  <c r="A767" i="5"/>
  <c r="N767" i="5" l="1"/>
  <c r="O767" i="5" s="1"/>
  <c r="O768" i="5"/>
  <c r="M254" i="6"/>
  <c r="N254" i="6" s="1"/>
  <c r="M260" i="6"/>
  <c r="N260" i="6" s="1"/>
  <c r="N872" i="5"/>
  <c r="N836" i="5"/>
  <c r="N830" i="5"/>
  <c r="N723" i="5"/>
  <c r="N644" i="5"/>
  <c r="M65" i="6"/>
  <c r="N65" i="6" s="1"/>
  <c r="A65" i="6"/>
  <c r="A66" i="6"/>
  <c r="M64" i="6" l="1"/>
  <c r="N64" i="6" s="1"/>
  <c r="M259" i="6"/>
  <c r="N259" i="6" s="1"/>
  <c r="N826" i="5"/>
  <c r="O826" i="5" s="1"/>
  <c r="A824" i="5"/>
  <c r="A827" i="5"/>
  <c r="A826" i="5"/>
  <c r="A825" i="5"/>
  <c r="N825" i="5" l="1"/>
  <c r="O825" i="5" s="1"/>
  <c r="N1016" i="5"/>
  <c r="N1022" i="5"/>
  <c r="N1046" i="5"/>
  <c r="N513" i="5"/>
  <c r="N563" i="5"/>
  <c r="M735" i="6"/>
  <c r="A732" i="6"/>
  <c r="A734" i="6"/>
  <c r="A731" i="6"/>
  <c r="A735" i="6"/>
  <c r="M734" i="6" l="1"/>
  <c r="N735" i="6"/>
  <c r="N824" i="5"/>
  <c r="O824" i="5" s="1"/>
  <c r="N410" i="5"/>
  <c r="O410" i="5" s="1"/>
  <c r="A409" i="5"/>
  <c r="A411" i="5"/>
  <c r="A410" i="5"/>
  <c r="M733" i="6" l="1"/>
  <c r="N734" i="6"/>
  <c r="N409" i="5"/>
  <c r="O409" i="5" s="1"/>
  <c r="N733" i="6" l="1"/>
  <c r="M732" i="6"/>
  <c r="N417" i="5"/>
  <c r="O417" i="5" s="1"/>
  <c r="M625" i="6"/>
  <c r="N625" i="6" s="1"/>
  <c r="N1196" i="5"/>
  <c r="O1196" i="5" s="1"/>
  <c r="N1197" i="5"/>
  <c r="O1197" i="5" s="1"/>
  <c r="N1199" i="5"/>
  <c r="O1199" i="5" s="1"/>
  <c r="A1193" i="5"/>
  <c r="A1200" i="5"/>
  <c r="A1198" i="5"/>
  <c r="A624" i="6"/>
  <c r="A617" i="6"/>
  <c r="A621" i="6"/>
  <c r="A622" i="6"/>
  <c r="A616" i="6"/>
  <c r="A1195" i="5"/>
  <c r="A619" i="6"/>
  <c r="A1199" i="5"/>
  <c r="A620" i="6"/>
  <c r="A625" i="6"/>
  <c r="A1197" i="5"/>
  <c r="A1196" i="5"/>
  <c r="A615" i="6"/>
  <c r="A1194" i="5"/>
  <c r="N732" i="6" l="1"/>
  <c r="M731" i="6"/>
  <c r="N731" i="6" s="1"/>
  <c r="N1198" i="5"/>
  <c r="O1198" i="5" s="1"/>
  <c r="M620" i="6"/>
  <c r="N1195" i="5"/>
  <c r="O1195" i="5" s="1"/>
  <c r="M624" i="6"/>
  <c r="M609" i="6"/>
  <c r="M614" i="6"/>
  <c r="N614" i="6" s="1"/>
  <c r="A610" i="6"/>
  <c r="A614" i="6"/>
  <c r="A609" i="6"/>
  <c r="A606" i="6"/>
  <c r="A603" i="6"/>
  <c r="A604" i="6"/>
  <c r="A608" i="6"/>
  <c r="A611" i="6"/>
  <c r="A613" i="6"/>
  <c r="A605" i="6"/>
  <c r="M619" i="6" l="1"/>
  <c r="N620" i="6"/>
  <c r="M608" i="6"/>
  <c r="N608" i="6" s="1"/>
  <c r="N609" i="6"/>
  <c r="M623" i="6"/>
  <c r="N623" i="6" s="1"/>
  <c r="N624" i="6"/>
  <c r="N1194" i="5"/>
  <c r="M622" i="6"/>
  <c r="M613" i="6"/>
  <c r="M607" i="6"/>
  <c r="N607" i="6" s="1"/>
  <c r="N543" i="5"/>
  <c r="O543" i="5" s="1"/>
  <c r="N546" i="5"/>
  <c r="A540" i="5"/>
  <c r="A544" i="5"/>
  <c r="A542" i="5"/>
  <c r="A546" i="5"/>
  <c r="A547" i="5"/>
  <c r="A541" i="5"/>
  <c r="A543" i="5"/>
  <c r="A545" i="5"/>
  <c r="M621" i="6" l="1"/>
  <c r="N621" i="6" s="1"/>
  <c r="N622" i="6"/>
  <c r="N1193" i="5"/>
  <c r="O1193" i="5" s="1"/>
  <c r="O1194" i="5"/>
  <c r="M612" i="6"/>
  <c r="N612" i="6" s="1"/>
  <c r="N613" i="6"/>
  <c r="N545" i="5"/>
  <c r="O545" i="5" s="1"/>
  <c r="O546" i="5"/>
  <c r="M618" i="6"/>
  <c r="N619" i="6"/>
  <c r="N542" i="5"/>
  <c r="O542" i="5" s="1"/>
  <c r="M611" i="6"/>
  <c r="M606" i="6"/>
  <c r="N606" i="6" s="1"/>
  <c r="N541" i="5" l="1"/>
  <c r="O541" i="5" s="1"/>
  <c r="M610" i="6"/>
  <c r="N610" i="6" s="1"/>
  <c r="N611" i="6"/>
  <c r="N618" i="6"/>
  <c r="M617" i="6"/>
  <c r="N540" i="5"/>
  <c r="O540" i="5" s="1"/>
  <c r="M605" i="6"/>
  <c r="N617" i="6" l="1"/>
  <c r="M616" i="6"/>
  <c r="M604" i="6"/>
  <c r="N605" i="6"/>
  <c r="M740" i="6"/>
  <c r="N740" i="6" s="1"/>
  <c r="A737" i="6"/>
  <c r="A416" i="5"/>
  <c r="A417" i="5"/>
  <c r="A740" i="6"/>
  <c r="A739" i="6"/>
  <c r="A415" i="5"/>
  <c r="A736" i="6"/>
  <c r="N604" i="6" l="1"/>
  <c r="M615" i="6"/>
  <c r="N615" i="6" s="1"/>
  <c r="N616" i="6"/>
  <c r="N416" i="5"/>
  <c r="O416" i="5" s="1"/>
  <c r="M739" i="6"/>
  <c r="N739" i="6" s="1"/>
  <c r="M603" i="6" l="1"/>
  <c r="N603" i="6" s="1"/>
  <c r="N415" i="5"/>
  <c r="O415" i="5" s="1"/>
  <c r="M738" i="6"/>
  <c r="N738" i="6" s="1"/>
  <c r="M737" i="6" l="1"/>
  <c r="N737" i="6" s="1"/>
  <c r="M736" i="6" l="1"/>
  <c r="N736" i="6" s="1"/>
  <c r="M1459" i="6" l="1"/>
  <c r="M1458" i="6" s="1"/>
  <c r="M1457" i="6"/>
  <c r="M1456" i="6" s="1"/>
  <c r="M1452" i="6"/>
  <c r="M1451" i="6" s="1"/>
  <c r="M1450" i="6" s="1"/>
  <c r="M1449" i="6" s="1"/>
  <c r="M1448" i="6" s="1"/>
  <c r="M1446" i="6"/>
  <c r="M1445" i="6" s="1"/>
  <c r="M1444" i="6" s="1"/>
  <c r="M1443" i="6" s="1"/>
  <c r="M1442" i="6" s="1"/>
  <c r="M1441" i="6" s="1"/>
  <c r="M1440" i="6"/>
  <c r="M1439" i="6" s="1"/>
  <c r="M1438" i="6" s="1"/>
  <c r="M1437" i="6" s="1"/>
  <c r="M1436" i="6" s="1"/>
  <c r="M1435" i="6"/>
  <c r="M1434" i="6" s="1"/>
  <c r="M1433" i="6" s="1"/>
  <c r="M1432" i="6" s="1"/>
  <c r="M1431" i="6"/>
  <c r="M1430" i="6" s="1"/>
  <c r="M1429" i="6" s="1"/>
  <c r="M1428" i="6" s="1"/>
  <c r="M1425" i="6"/>
  <c r="M1424" i="6" s="1"/>
  <c r="M1423" i="6" s="1"/>
  <c r="M1422" i="6" s="1"/>
  <c r="M1421" i="6"/>
  <c r="M1420" i="6" s="1"/>
  <c r="M1419" i="6"/>
  <c r="M1418" i="6" s="1"/>
  <c r="M1413" i="6"/>
  <c r="M1412" i="6" s="1"/>
  <c r="M1411" i="6" s="1"/>
  <c r="M1410" i="6" s="1"/>
  <c r="M1409" i="6"/>
  <c r="M1408" i="6" s="1"/>
  <c r="M1407" i="6"/>
  <c r="M1406" i="6" s="1"/>
  <c r="M1405" i="6"/>
  <c r="M1404" i="6" s="1"/>
  <c r="M1398" i="6"/>
  <c r="M1397" i="6" s="1"/>
  <c r="M1396" i="6" s="1"/>
  <c r="M1395" i="6" s="1"/>
  <c r="M1394" i="6" s="1"/>
  <c r="M1393" i="6"/>
  <c r="M1392" i="6" s="1"/>
  <c r="M1391" i="6" s="1"/>
  <c r="M1390" i="6" s="1"/>
  <c r="M1389" i="6" s="1"/>
  <c r="M1388" i="6"/>
  <c r="M1387" i="6" s="1"/>
  <c r="M1386" i="6" s="1"/>
  <c r="M1385" i="6" s="1"/>
  <c r="M1384" i="6" s="1"/>
  <c r="M1383" i="6"/>
  <c r="M1382" i="6" s="1"/>
  <c r="M1381" i="6" s="1"/>
  <c r="M1380" i="6" s="1"/>
  <c r="M1379" i="6" s="1"/>
  <c r="M1378" i="6"/>
  <c r="M1377" i="6" s="1"/>
  <c r="M1376" i="6"/>
  <c r="M1375" i="6" s="1"/>
  <c r="M1371" i="6"/>
  <c r="M1370" i="6" s="1"/>
  <c r="M1369" i="6" s="1"/>
  <c r="M1368" i="6" s="1"/>
  <c r="M1367" i="6" s="1"/>
  <c r="M1366" i="6"/>
  <c r="M1365" i="6" s="1"/>
  <c r="M1364" i="6" s="1"/>
  <c r="M1363" i="6" s="1"/>
  <c r="M1362" i="6"/>
  <c r="M1361" i="6" s="1"/>
  <c r="M1360" i="6"/>
  <c r="M1359" i="6" s="1"/>
  <c r="M1357" i="6"/>
  <c r="M1356" i="6" s="1"/>
  <c r="M1355" i="6"/>
  <c r="M1354" i="6" s="1"/>
  <c r="M1349" i="6"/>
  <c r="M1348" i="6" s="1"/>
  <c r="M1347" i="6" s="1"/>
  <c r="M1346" i="6" s="1"/>
  <c r="M1345" i="6" s="1"/>
  <c r="M1344" i="6" s="1"/>
  <c r="M1341" i="6"/>
  <c r="M1340" i="6" s="1"/>
  <c r="M1339" i="6" s="1"/>
  <c r="M1338" i="6" s="1"/>
  <c r="M1337" i="6" s="1"/>
  <c r="M1336" i="6" s="1"/>
  <c r="M1335" i="6"/>
  <c r="M1334" i="6" s="1"/>
  <c r="M1333" i="6" s="1"/>
  <c r="M1332" i="6" s="1"/>
  <c r="M1331" i="6" s="1"/>
  <c r="M1330" i="6"/>
  <c r="M1329" i="6" s="1"/>
  <c r="M1328" i="6" s="1"/>
  <c r="M1327" i="6" s="1"/>
  <c r="M1326" i="6" s="1"/>
  <c r="M1323" i="6"/>
  <c r="M1322" i="6" s="1"/>
  <c r="M1321" i="6" s="1"/>
  <c r="M1320" i="6" s="1"/>
  <c r="M1319" i="6" s="1"/>
  <c r="M1318" i="6"/>
  <c r="M1317" i="6" s="1"/>
  <c r="M1316" i="6" s="1"/>
  <c r="M1315" i="6" s="1"/>
  <c r="M1314" i="6"/>
  <c r="M1313" i="6" s="1"/>
  <c r="M1312" i="6" s="1"/>
  <c r="M1311" i="6" s="1"/>
  <c r="M1310" i="6"/>
  <c r="M1309" i="6" s="1"/>
  <c r="M1308" i="6" s="1"/>
  <c r="M1307" i="6" s="1"/>
  <c r="M1306" i="6"/>
  <c r="M1305" i="6" s="1"/>
  <c r="M1304" i="6"/>
  <c r="M1303" i="6" s="1"/>
  <c r="M1302" i="6"/>
  <c r="M1301" i="6" s="1"/>
  <c r="M1298" i="6"/>
  <c r="M1297" i="6" s="1"/>
  <c r="M1296" i="6" s="1"/>
  <c r="M1295" i="6" s="1"/>
  <c r="M1293" i="6"/>
  <c r="M1292" i="6" s="1"/>
  <c r="M1291" i="6" s="1"/>
  <c r="M1290" i="6" s="1"/>
  <c r="M1289" i="6" s="1"/>
  <c r="M1286" i="6"/>
  <c r="M1285" i="6" s="1"/>
  <c r="M1284" i="6" s="1"/>
  <c r="M1283" i="6" s="1"/>
  <c r="M1282" i="6" s="1"/>
  <c r="M1281" i="6"/>
  <c r="M1280" i="6" s="1"/>
  <c r="M1279" i="6" s="1"/>
  <c r="M1278" i="6" s="1"/>
  <c r="M1277" i="6" s="1"/>
  <c r="M1276" i="6"/>
  <c r="M1275" i="6" s="1"/>
  <c r="M1274" i="6"/>
  <c r="M1273" i="6" s="1"/>
  <c r="M1272" i="6"/>
  <c r="M1271" i="6" s="1"/>
  <c r="M1268" i="6"/>
  <c r="M1267" i="6" s="1"/>
  <c r="M1266" i="6" s="1"/>
  <c r="M1265" i="6" s="1"/>
  <c r="M1263" i="6"/>
  <c r="M1262" i="6" s="1"/>
  <c r="M1261" i="6" s="1"/>
  <c r="M1260" i="6" s="1"/>
  <c r="M1259" i="6" s="1"/>
  <c r="M1258" i="6"/>
  <c r="M1257" i="6" s="1"/>
  <c r="M1256" i="6" s="1"/>
  <c r="M1255" i="6" s="1"/>
  <c r="M1254" i="6" s="1"/>
  <c r="M1252" i="6"/>
  <c r="M1251" i="6" s="1"/>
  <c r="M1250" i="6" s="1"/>
  <c r="M1249" i="6" s="1"/>
  <c r="M1248" i="6" s="1"/>
  <c r="M1247" i="6"/>
  <c r="M1246" i="6" s="1"/>
  <c r="M1245" i="6" s="1"/>
  <c r="M1244" i="6" s="1"/>
  <c r="M1243" i="6"/>
  <c r="M1242" i="6" s="1"/>
  <c r="M1241" i="6" s="1"/>
  <c r="M1240" i="6" s="1"/>
  <c r="M1237" i="6"/>
  <c r="M1236" i="6" s="1"/>
  <c r="M1235" i="6" s="1"/>
  <c r="M1234" i="6" s="1"/>
  <c r="M1233" i="6" s="1"/>
  <c r="M1231" i="6"/>
  <c r="M1230" i="6" s="1"/>
  <c r="M1229" i="6" s="1"/>
  <c r="M1228" i="6" s="1"/>
  <c r="M1227" i="6" s="1"/>
  <c r="M1226" i="6" s="1"/>
  <c r="M1225" i="6"/>
  <c r="M1224" i="6" s="1"/>
  <c r="M1223" i="6"/>
  <c r="M1222" i="6" s="1"/>
  <c r="M1219" i="6"/>
  <c r="M1218" i="6" s="1"/>
  <c r="M1217" i="6" s="1"/>
  <c r="M1216" i="6" s="1"/>
  <c r="M1214" i="6"/>
  <c r="M1213" i="6" s="1"/>
  <c r="M1212" i="6" s="1"/>
  <c r="M1211" i="6" s="1"/>
  <c r="M1210" i="6"/>
  <c r="M1209" i="6" s="1"/>
  <c r="M1208" i="6" s="1"/>
  <c r="M1207" i="6" s="1"/>
  <c r="M1204" i="6"/>
  <c r="M1203" i="6" s="1"/>
  <c r="M1202" i="6" s="1"/>
  <c r="M1201" i="6" s="1"/>
  <c r="M1200" i="6"/>
  <c r="M1199" i="6" s="1"/>
  <c r="M1198" i="6"/>
  <c r="M1197" i="6" s="1"/>
  <c r="M1196" i="6"/>
  <c r="M1195" i="6" s="1"/>
  <c r="M1191" i="6"/>
  <c r="M1190" i="6" s="1"/>
  <c r="M1189" i="6" s="1"/>
  <c r="M1188" i="6" s="1"/>
  <c r="M1187" i="6" s="1"/>
  <c r="M1184" i="6"/>
  <c r="M1183" i="6" s="1"/>
  <c r="M1182" i="6" s="1"/>
  <c r="M1181" i="6" s="1"/>
  <c r="M1180" i="6" s="1"/>
  <c r="M1179" i="6"/>
  <c r="M1178" i="6" s="1"/>
  <c r="M1177" i="6" s="1"/>
  <c r="M1176" i="6" s="1"/>
  <c r="M1175" i="6" s="1"/>
  <c r="M1173" i="6"/>
  <c r="M1172" i="6" s="1"/>
  <c r="M1171" i="6" s="1"/>
  <c r="M1170" i="6" s="1"/>
  <c r="M1169" i="6" s="1"/>
  <c r="M1167" i="6"/>
  <c r="M1166" i="6" s="1"/>
  <c r="M1165" i="6" s="1"/>
  <c r="M1164" i="6" s="1"/>
  <c r="M1163" i="6"/>
  <c r="M1162" i="6" s="1"/>
  <c r="M1161" i="6"/>
  <c r="M1160" i="6" s="1"/>
  <c r="M1156" i="6"/>
  <c r="M1155" i="6" s="1"/>
  <c r="M1154" i="6" s="1"/>
  <c r="M1153" i="6" s="1"/>
  <c r="M1152" i="6" s="1"/>
  <c r="M1150" i="6"/>
  <c r="M1149" i="6" s="1"/>
  <c r="M1148" i="6" s="1"/>
  <c r="M1147" i="6" s="1"/>
  <c r="M1146" i="6" s="1"/>
  <c r="M1145" i="6"/>
  <c r="M1144" i="6" s="1"/>
  <c r="M1143" i="6" s="1"/>
  <c r="M1142" i="6"/>
  <c r="M1141" i="6" s="1"/>
  <c r="M1140" i="6" s="1"/>
  <c r="M1138" i="6"/>
  <c r="M1137" i="6" s="1"/>
  <c r="M1136" i="6" s="1"/>
  <c r="M1135" i="6" s="1"/>
  <c r="M1133" i="6"/>
  <c r="M1132" i="6" s="1"/>
  <c r="M1131" i="6" s="1"/>
  <c r="M1130" i="6" s="1"/>
  <c r="M1129" i="6"/>
  <c r="M1128" i="6" s="1"/>
  <c r="M1127" i="6" s="1"/>
  <c r="M1126" i="6" s="1"/>
  <c r="M1124" i="6"/>
  <c r="M1123" i="6" s="1"/>
  <c r="M1122" i="6" s="1"/>
  <c r="M1121" i="6"/>
  <c r="M1120" i="6" s="1"/>
  <c r="M1119" i="6" s="1"/>
  <c r="M1116" i="6"/>
  <c r="M1115" i="6" s="1"/>
  <c r="M1114" i="6" s="1"/>
  <c r="M1113" i="6" s="1"/>
  <c r="M1112" i="6"/>
  <c r="M1111" i="6" s="1"/>
  <c r="M1110" i="6" s="1"/>
  <c r="M1109" i="6" s="1"/>
  <c r="M1107" i="6"/>
  <c r="M1106" i="6" s="1"/>
  <c r="M1105" i="6" s="1"/>
  <c r="M1104" i="6" s="1"/>
  <c r="M1103" i="6"/>
  <c r="M1102" i="6" s="1"/>
  <c r="M1101" i="6" s="1"/>
  <c r="M1100" i="6"/>
  <c r="M1099" i="6" s="1"/>
  <c r="M1098" i="6" s="1"/>
  <c r="M1097" i="6"/>
  <c r="M1096" i="6"/>
  <c r="M1092" i="6"/>
  <c r="M1091" i="6" s="1"/>
  <c r="M1090" i="6" s="1"/>
  <c r="M1089" i="6" s="1"/>
  <c r="M1086" i="6"/>
  <c r="M1085" i="6" s="1"/>
  <c r="M1084" i="6" s="1"/>
  <c r="M1083" i="6" s="1"/>
  <c r="M1082" i="6"/>
  <c r="M1081" i="6" s="1"/>
  <c r="M1080" i="6" s="1"/>
  <c r="M1079" i="6" s="1"/>
  <c r="M1077" i="6"/>
  <c r="M1076" i="6" s="1"/>
  <c r="M1075" i="6" s="1"/>
  <c r="M1074" i="6" s="1"/>
  <c r="M1073" i="6"/>
  <c r="M1072" i="6" s="1"/>
  <c r="M1071" i="6"/>
  <c r="M1070" i="6" s="1"/>
  <c r="M1069" i="6"/>
  <c r="M1068" i="6" s="1"/>
  <c r="M1063" i="6"/>
  <c r="M1062" i="6" s="1"/>
  <c r="M1061" i="6" s="1"/>
  <c r="M1060" i="6" s="1"/>
  <c r="M1059" i="6"/>
  <c r="M1058" i="6" s="1"/>
  <c r="M1057" i="6"/>
  <c r="M1056" i="6" s="1"/>
  <c r="M1055" i="6"/>
  <c r="M1054" i="6" s="1"/>
  <c r="M1050" i="6"/>
  <c r="M1049" i="6" s="1"/>
  <c r="M1048" i="6" s="1"/>
  <c r="M1047" i="6" s="1"/>
  <c r="M1046" i="6" s="1"/>
  <c r="M1045" i="6"/>
  <c r="M1044" i="6" s="1"/>
  <c r="M1043" i="6" s="1"/>
  <c r="M1042" i="6" s="1"/>
  <c r="M1041" i="6" s="1"/>
  <c r="M1040" i="6"/>
  <c r="M1039" i="6" s="1"/>
  <c r="M1038" i="6" s="1"/>
  <c r="M1037" i="6" s="1"/>
  <c r="M1036" i="6" s="1"/>
  <c r="M1035" i="6"/>
  <c r="M1034" i="6" s="1"/>
  <c r="M1033" i="6" s="1"/>
  <c r="M1032" i="6" s="1"/>
  <c r="M1031" i="6" s="1"/>
  <c r="M1030" i="6"/>
  <c r="M1029" i="6" s="1"/>
  <c r="M1028" i="6" s="1"/>
  <c r="M1027" i="6" s="1"/>
  <c r="M1026" i="6"/>
  <c r="M1025" i="6" s="1"/>
  <c r="M1024" i="6" s="1"/>
  <c r="M1023" i="6"/>
  <c r="M1019" i="6"/>
  <c r="M1018" i="6" s="1"/>
  <c r="M1017" i="6" s="1"/>
  <c r="M1016" i="6" s="1"/>
  <c r="M1015" i="6"/>
  <c r="M1014" i="6" s="1"/>
  <c r="M1013" i="6" s="1"/>
  <c r="M1012" i="6"/>
  <c r="M1011" i="6" s="1"/>
  <c r="M1010" i="6" s="1"/>
  <c r="M1008" i="6"/>
  <c r="M992" i="6"/>
  <c r="M991" i="6" s="1"/>
  <c r="M990" i="6" s="1"/>
  <c r="M989" i="6" s="1"/>
  <c r="M988" i="6" s="1"/>
  <c r="M987" i="6"/>
  <c r="M986" i="6" s="1"/>
  <c r="M985" i="6" s="1"/>
  <c r="M984" i="6" s="1"/>
  <c r="M983" i="6" s="1"/>
  <c r="M981" i="6"/>
  <c r="M980" i="6" s="1"/>
  <c r="M979" i="6" s="1"/>
  <c r="M978" i="6" s="1"/>
  <c r="M977" i="6" s="1"/>
  <c r="M976" i="6"/>
  <c r="M975" i="6" s="1"/>
  <c r="M974" i="6" s="1"/>
  <c r="M973" i="6" s="1"/>
  <c r="M972" i="6" s="1"/>
  <c r="M971" i="6"/>
  <c r="M970" i="6" s="1"/>
  <c r="M969" i="6" s="1"/>
  <c r="M968" i="6" s="1"/>
  <c r="M967" i="6" s="1"/>
  <c r="M966" i="6"/>
  <c r="M965" i="6" s="1"/>
  <c r="M964" i="6" s="1"/>
  <c r="M963" i="6" s="1"/>
  <c r="M962" i="6" s="1"/>
  <c r="M961" i="6"/>
  <c r="M960" i="6" s="1"/>
  <c r="M959" i="6" s="1"/>
  <c r="M958" i="6" s="1"/>
  <c r="M957" i="6" s="1"/>
  <c r="M956" i="6"/>
  <c r="M955" i="6" s="1"/>
  <c r="M954" i="6" s="1"/>
  <c r="M953" i="6" s="1"/>
  <c r="M952" i="6" s="1"/>
  <c r="M951" i="6"/>
  <c r="M950" i="6" s="1"/>
  <c r="M949" i="6" s="1"/>
  <c r="M948" i="6" s="1"/>
  <c r="M947" i="6" s="1"/>
  <c r="M946" i="6"/>
  <c r="M945" i="6" s="1"/>
  <c r="M944" i="6" s="1"/>
  <c r="M943" i="6" s="1"/>
  <c r="M942" i="6" s="1"/>
  <c r="M941" i="6"/>
  <c r="M940" i="6" s="1"/>
  <c r="M939" i="6" s="1"/>
  <c r="M938" i="6" s="1"/>
  <c r="M937" i="6" s="1"/>
  <c r="M936" i="6"/>
  <c r="M935" i="6" s="1"/>
  <c r="M934" i="6" s="1"/>
  <c r="M933" i="6"/>
  <c r="M932" i="6" s="1"/>
  <c r="M931" i="6" s="1"/>
  <c r="M929" i="6"/>
  <c r="M928" i="6" s="1"/>
  <c r="M927" i="6" s="1"/>
  <c r="M925" i="6"/>
  <c r="M924" i="6" s="1"/>
  <c r="M922" i="6"/>
  <c r="M921" i="6" s="1"/>
  <c r="M920" i="6" s="1"/>
  <c r="M919" i="6" s="1"/>
  <c r="M918" i="6"/>
  <c r="M917" i="6" s="1"/>
  <c r="M916" i="6" s="1"/>
  <c r="M915" i="6" s="1"/>
  <c r="M911" i="6"/>
  <c r="M910" i="6" s="1"/>
  <c r="M909" i="6"/>
  <c r="M908" i="6" s="1"/>
  <c r="M903" i="6"/>
  <c r="M902" i="6" s="1"/>
  <c r="M901" i="6" s="1"/>
  <c r="M900" i="6" s="1"/>
  <c r="M899" i="6" s="1"/>
  <c r="M898" i="6"/>
  <c r="M897" i="6"/>
  <c r="M895" i="6"/>
  <c r="M894" i="6" s="1"/>
  <c r="M890" i="6"/>
  <c r="M889" i="6" s="1"/>
  <c r="M888" i="6" s="1"/>
  <c r="M887" i="6" s="1"/>
  <c r="M886" i="6"/>
  <c r="M885" i="6" s="1"/>
  <c r="M884" i="6" s="1"/>
  <c r="M883" i="6" s="1"/>
  <c r="M882" i="6"/>
  <c r="M881" i="6" s="1"/>
  <c r="M880" i="6" s="1"/>
  <c r="M879" i="6"/>
  <c r="M878" i="6" s="1"/>
  <c r="M877" i="6" s="1"/>
  <c r="M875" i="6"/>
  <c r="M874" i="6" s="1"/>
  <c r="M873" i="6" s="1"/>
  <c r="M872" i="6" s="1"/>
  <c r="M869" i="6"/>
  <c r="M868" i="6" s="1"/>
  <c r="M867" i="6" s="1"/>
  <c r="M866" i="6" s="1"/>
  <c r="M865" i="6" s="1"/>
  <c r="M864" i="6"/>
  <c r="M863" i="6" s="1"/>
  <c r="M862" i="6" s="1"/>
  <c r="M861" i="6" s="1"/>
  <c r="M860" i="6" s="1"/>
  <c r="M859" i="6"/>
  <c r="M858" i="6" s="1"/>
  <c r="M857" i="6" s="1"/>
  <c r="M856" i="6" s="1"/>
  <c r="M855" i="6" s="1"/>
  <c r="M854" i="6"/>
  <c r="M853" i="6" s="1"/>
  <c r="M852" i="6" s="1"/>
  <c r="M851" i="6" s="1"/>
  <c r="M850" i="6" s="1"/>
  <c r="M849" i="6"/>
  <c r="M848" i="6" s="1"/>
  <c r="M847" i="6" s="1"/>
  <c r="M846" i="6" s="1"/>
  <c r="M845" i="6" s="1"/>
  <c r="M843" i="6"/>
  <c r="M842" i="6" s="1"/>
  <c r="M841" i="6" s="1"/>
  <c r="M840" i="6" s="1"/>
  <c r="M839" i="6" s="1"/>
  <c r="M838" i="6" s="1"/>
  <c r="M837" i="6"/>
  <c r="M836" i="6" s="1"/>
  <c r="M835" i="6" s="1"/>
  <c r="M834" i="6" s="1"/>
  <c r="M833" i="6" s="1"/>
  <c r="M832" i="6"/>
  <c r="M831" i="6" s="1"/>
  <c r="M830" i="6" s="1"/>
  <c r="M829" i="6" s="1"/>
  <c r="M828" i="6" s="1"/>
  <c r="M827" i="6" s="1"/>
  <c r="M826" i="6"/>
  <c r="M825" i="6" s="1"/>
  <c r="M824" i="6" s="1"/>
  <c r="M823" i="6" s="1"/>
  <c r="M822" i="6" s="1"/>
  <c r="M821" i="6" s="1"/>
  <c r="M820" i="6"/>
  <c r="M819" i="6" s="1"/>
  <c r="M818" i="6" s="1"/>
  <c r="M817" i="6" s="1"/>
  <c r="M816" i="6"/>
  <c r="M815" i="6" s="1"/>
  <c r="M814" i="6" s="1"/>
  <c r="M813" i="6" s="1"/>
  <c r="M811" i="6"/>
  <c r="M810" i="6" s="1"/>
  <c r="M809" i="6" s="1"/>
  <c r="M808" i="6" s="1"/>
  <c r="M807" i="6" s="1"/>
  <c r="M806" i="6"/>
  <c r="M805" i="6" s="1"/>
  <c r="M804" i="6" s="1"/>
  <c r="M803" i="6" s="1"/>
  <c r="M802" i="6" s="1"/>
  <c r="M801" i="6"/>
  <c r="M800" i="6"/>
  <c r="M798" i="6"/>
  <c r="M797" i="6" s="1"/>
  <c r="M796" i="6"/>
  <c r="M795" i="6" s="1"/>
  <c r="M790" i="6"/>
  <c r="M789" i="6" s="1"/>
  <c r="M788" i="6"/>
  <c r="M787" i="6" s="1"/>
  <c r="M782" i="6"/>
  <c r="M781" i="6" s="1"/>
  <c r="M780" i="6"/>
  <c r="M779" i="6" s="1"/>
  <c r="M773" i="6"/>
  <c r="M772" i="6" s="1"/>
  <c r="M771" i="6"/>
  <c r="M770" i="6" s="1"/>
  <c r="M765" i="6"/>
  <c r="M764" i="6" s="1"/>
  <c r="M763" i="6" s="1"/>
  <c r="M762" i="6" s="1"/>
  <c r="M761" i="6" s="1"/>
  <c r="M759" i="6"/>
  <c r="M758" i="6" s="1"/>
  <c r="M757" i="6" s="1"/>
  <c r="M756" i="6" s="1"/>
  <c r="M755" i="6" s="1"/>
  <c r="M754" i="6" s="1"/>
  <c r="M753" i="6"/>
  <c r="M752" i="6" s="1"/>
  <c r="M751" i="6" s="1"/>
  <c r="M750" i="6" s="1"/>
  <c r="M749" i="6" s="1"/>
  <c r="M746" i="6"/>
  <c r="M745" i="6" s="1"/>
  <c r="M744" i="6" s="1"/>
  <c r="M743" i="6" s="1"/>
  <c r="M742" i="6" s="1"/>
  <c r="M741" i="6" s="1"/>
  <c r="M730" i="6"/>
  <c r="M729" i="6" s="1"/>
  <c r="M728" i="6" s="1"/>
  <c r="M727" i="6" s="1"/>
  <c r="M726" i="6" s="1"/>
  <c r="M725" i="6"/>
  <c r="M724" i="6" s="1"/>
  <c r="M723" i="6" s="1"/>
  <c r="M722" i="6" s="1"/>
  <c r="M721" i="6" s="1"/>
  <c r="M720" i="6" s="1"/>
  <c r="M718" i="6"/>
  <c r="M717" i="6" s="1"/>
  <c r="M716" i="6" s="1"/>
  <c r="M715" i="6" s="1"/>
  <c r="M714" i="6" s="1"/>
  <c r="M713" i="6"/>
  <c r="M712" i="6" s="1"/>
  <c r="M711" i="6" s="1"/>
  <c r="M710" i="6" s="1"/>
  <c r="M709" i="6" s="1"/>
  <c r="M708" i="6"/>
  <c r="M707" i="6" s="1"/>
  <c r="M706" i="6" s="1"/>
  <c r="M705" i="6" s="1"/>
  <c r="M704" i="6" s="1"/>
  <c r="M701" i="6"/>
  <c r="M700" i="6" s="1"/>
  <c r="M699" i="6" s="1"/>
  <c r="M698" i="6" s="1"/>
  <c r="M697" i="6" s="1"/>
  <c r="M696" i="6"/>
  <c r="M695" i="6" s="1"/>
  <c r="M694" i="6"/>
  <c r="M693" i="6" s="1"/>
  <c r="M692" i="6"/>
  <c r="M691" i="6" s="1"/>
  <c r="M686" i="6"/>
  <c r="M685" i="6" s="1"/>
  <c r="M684" i="6" s="1"/>
  <c r="M683" i="6" s="1"/>
  <c r="M682" i="6" s="1"/>
  <c r="M681" i="6"/>
  <c r="M680" i="6" s="1"/>
  <c r="M679" i="6"/>
  <c r="M678" i="6" s="1"/>
  <c r="M674" i="6"/>
  <c r="M673" i="6" s="1"/>
  <c r="M672" i="6" s="1"/>
  <c r="M671" i="6" s="1"/>
  <c r="M670" i="6" s="1"/>
  <c r="M669" i="6" s="1"/>
  <c r="M668" i="6" s="1"/>
  <c r="M667" i="6"/>
  <c r="M666" i="6" s="1"/>
  <c r="M665" i="6" s="1"/>
  <c r="M664" i="6" s="1"/>
  <c r="M663" i="6" s="1"/>
  <c r="M662" i="6" s="1"/>
  <c r="M661" i="6" s="1"/>
  <c r="M660" i="6"/>
  <c r="M659" i="6" s="1"/>
  <c r="M658" i="6" s="1"/>
  <c r="M657" i="6" s="1"/>
  <c r="M656" i="6" s="1"/>
  <c r="M655" i="6" s="1"/>
  <c r="M654" i="6" s="1"/>
  <c r="M653" i="6"/>
  <c r="M652" i="6" s="1"/>
  <c r="M651" i="6" s="1"/>
  <c r="M650" i="6" s="1"/>
  <c r="M649" i="6" s="1"/>
  <c r="M648" i="6" s="1"/>
  <c r="M647" i="6" s="1"/>
  <c r="M646" i="6"/>
  <c r="M645" i="6" s="1"/>
  <c r="M644" i="6"/>
  <c r="M643" i="6" s="1"/>
  <c r="M639" i="6"/>
  <c r="M638" i="6" s="1"/>
  <c r="M637" i="6"/>
  <c r="M636" i="6" s="1"/>
  <c r="M631" i="6"/>
  <c r="M630" i="6" s="1"/>
  <c r="M629" i="6" s="1"/>
  <c r="M628" i="6" s="1"/>
  <c r="M627" i="6" s="1"/>
  <c r="M602" i="6"/>
  <c r="M601" i="6" s="1"/>
  <c r="M600" i="6" s="1"/>
  <c r="M599" i="6" s="1"/>
  <c r="M598" i="6" s="1"/>
  <c r="M597" i="6"/>
  <c r="M596" i="6" s="1"/>
  <c r="M595" i="6" s="1"/>
  <c r="M594" i="6" s="1"/>
  <c r="M593" i="6" s="1"/>
  <c r="M591" i="6"/>
  <c r="M590" i="6" s="1"/>
  <c r="M589" i="6" s="1"/>
  <c r="M588" i="6" s="1"/>
  <c r="M587" i="6"/>
  <c r="M586" i="6" s="1"/>
  <c r="M585" i="6" s="1"/>
  <c r="M584" i="6" s="1"/>
  <c r="M581" i="6"/>
  <c r="M580" i="6" s="1"/>
  <c r="M579" i="6" s="1"/>
  <c r="M578" i="6" s="1"/>
  <c r="M577" i="6" s="1"/>
  <c r="M576" i="6"/>
  <c r="M575" i="6"/>
  <c r="M569" i="6"/>
  <c r="M568" i="6" s="1"/>
  <c r="M567" i="6"/>
  <c r="M566" i="6" s="1"/>
  <c r="M565" i="6"/>
  <c r="M564" i="6" s="1"/>
  <c r="M562" i="6"/>
  <c r="M561" i="6" s="1"/>
  <c r="M560" i="6" s="1"/>
  <c r="M557" i="6"/>
  <c r="M556" i="6" s="1"/>
  <c r="M555" i="6" s="1"/>
  <c r="M554" i="6" s="1"/>
  <c r="M553" i="6" s="1"/>
  <c r="M552" i="6"/>
  <c r="M551" i="6" s="1"/>
  <c r="M550" i="6"/>
  <c r="M549" i="6" s="1"/>
  <c r="M544" i="6"/>
  <c r="M543" i="6" s="1"/>
  <c r="M542" i="6" s="1"/>
  <c r="M541" i="6" s="1"/>
  <c r="M540" i="6" s="1"/>
  <c r="M539" i="6"/>
  <c r="M538" i="6" s="1"/>
  <c r="M537" i="6" s="1"/>
  <c r="M536" i="6" s="1"/>
  <c r="M535" i="6" s="1"/>
  <c r="M534" i="6"/>
  <c r="M533" i="6" s="1"/>
  <c r="M532" i="6" s="1"/>
  <c r="M531" i="6" s="1"/>
  <c r="M530" i="6" s="1"/>
  <c r="M528" i="6"/>
  <c r="M527" i="6" s="1"/>
  <c r="M526" i="6" s="1"/>
  <c r="M525" i="6" s="1"/>
  <c r="M524" i="6" s="1"/>
  <c r="M523" i="6"/>
  <c r="M522" i="6" s="1"/>
  <c r="M521" i="6" s="1"/>
  <c r="M520" i="6" s="1"/>
  <c r="M519" i="6" s="1"/>
  <c r="M518" i="6"/>
  <c r="M517" i="6" s="1"/>
  <c r="M516" i="6" s="1"/>
  <c r="M515" i="6" s="1"/>
  <c r="M514" i="6" s="1"/>
  <c r="M513" i="6"/>
  <c r="M512" i="6" s="1"/>
  <c r="M511" i="6" s="1"/>
  <c r="M510" i="6" s="1"/>
  <c r="M509" i="6" s="1"/>
  <c r="M508" i="6"/>
  <c r="M507" i="6" s="1"/>
  <c r="M506" i="6" s="1"/>
  <c r="M505" i="6" s="1"/>
  <c r="M504" i="6" s="1"/>
  <c r="M502" i="6"/>
  <c r="M501" i="6" s="1"/>
  <c r="M500" i="6" s="1"/>
  <c r="M499" i="6" s="1"/>
  <c r="M498" i="6" s="1"/>
  <c r="M496" i="6"/>
  <c r="M495" i="6" s="1"/>
  <c r="M494" i="6" s="1"/>
  <c r="M493" i="6" s="1"/>
  <c r="M492" i="6" s="1"/>
  <c r="M491" i="6" s="1"/>
  <c r="M490" i="6"/>
  <c r="M489" i="6" s="1"/>
  <c r="M488" i="6"/>
  <c r="M487" i="6" s="1"/>
  <c r="M483" i="6"/>
  <c r="M482" i="6" s="1"/>
  <c r="M481" i="6"/>
  <c r="M480" i="6" s="1"/>
  <c r="M475" i="6"/>
  <c r="M474" i="6" s="1"/>
  <c r="M473" i="6" s="1"/>
  <c r="M472" i="6" s="1"/>
  <c r="M471" i="6" s="1"/>
  <c r="M470" i="6"/>
  <c r="M469" i="6" s="1"/>
  <c r="M468" i="6" s="1"/>
  <c r="M467" i="6"/>
  <c r="M466" i="6" s="1"/>
  <c r="M465" i="6" s="1"/>
  <c r="M464" i="6"/>
  <c r="M463" i="6" s="1"/>
  <c r="M462" i="6" s="1"/>
  <c r="M458" i="6"/>
  <c r="M457" i="6" s="1"/>
  <c r="M456" i="6"/>
  <c r="M455" i="6" s="1"/>
  <c r="M451" i="6"/>
  <c r="M450" i="6" s="1"/>
  <c r="M449" i="6" s="1"/>
  <c r="M448" i="6" s="1"/>
  <c r="M447" i="6"/>
  <c r="M446" i="6" s="1"/>
  <c r="M445" i="6"/>
  <c r="M444" i="6" s="1"/>
  <c r="M443" i="6"/>
  <c r="M442" i="6" s="1"/>
  <c r="M436" i="6"/>
  <c r="M435" i="6" s="1"/>
  <c r="M434" i="6" s="1"/>
  <c r="M433" i="6" s="1"/>
  <c r="M432" i="6" s="1"/>
  <c r="M431" i="6"/>
  <c r="M430" i="6" s="1"/>
  <c r="M429" i="6"/>
  <c r="M428" i="6" s="1"/>
  <c r="M423" i="6"/>
  <c r="M422" i="6"/>
  <c r="M417" i="6"/>
  <c r="M416" i="6" s="1"/>
  <c r="M415" i="6"/>
  <c r="M414" i="6" s="1"/>
  <c r="M410" i="6"/>
  <c r="M409" i="6"/>
  <c r="M406" i="6"/>
  <c r="M405" i="6"/>
  <c r="M400" i="6"/>
  <c r="M399" i="6" s="1"/>
  <c r="M398" i="6" s="1"/>
  <c r="M397" i="6"/>
  <c r="M396" i="6"/>
  <c r="M391" i="6"/>
  <c r="M390" i="6" s="1"/>
  <c r="M389" i="6" s="1"/>
  <c r="M388" i="6" s="1"/>
  <c r="M387" i="6" s="1"/>
  <c r="M385" i="6"/>
  <c r="M384" i="6" s="1"/>
  <c r="M383" i="6" s="1"/>
  <c r="M382" i="6" s="1"/>
  <c r="M381" i="6" s="1"/>
  <c r="M380" i="6"/>
  <c r="M379" i="6" s="1"/>
  <c r="M378" i="6" s="1"/>
  <c r="M377" i="6" s="1"/>
  <c r="M376" i="6" s="1"/>
  <c r="M374" i="6"/>
  <c r="M373" i="6" s="1"/>
  <c r="M372" i="6" s="1"/>
  <c r="M371" i="6" s="1"/>
  <c r="M370" i="6" s="1"/>
  <c r="M369" i="6"/>
  <c r="M368" i="6" s="1"/>
  <c r="M367" i="6" s="1"/>
  <c r="M366" i="6" s="1"/>
  <c r="M365" i="6"/>
  <c r="M364" i="6" s="1"/>
  <c r="M363" i="6" s="1"/>
  <c r="M362" i="6" s="1"/>
  <c r="M360" i="6"/>
  <c r="M359" i="6" s="1"/>
  <c r="M358" i="6" s="1"/>
  <c r="M357" i="6" s="1"/>
  <c r="M356" i="6" s="1"/>
  <c r="M354" i="6"/>
  <c r="M353" i="6" s="1"/>
  <c r="M352" i="6" s="1"/>
  <c r="M351" i="6" s="1"/>
  <c r="M350" i="6" s="1"/>
  <c r="M349" i="6"/>
  <c r="M348" i="6" s="1"/>
  <c r="M347" i="6" s="1"/>
  <c r="M346" i="6" s="1"/>
  <c r="M345" i="6" s="1"/>
  <c r="M344" i="6"/>
  <c r="M343" i="6" s="1"/>
  <c r="M342" i="6" s="1"/>
  <c r="M341" i="6" s="1"/>
  <c r="M340" i="6" s="1"/>
  <c r="M339" i="6"/>
  <c r="M338" i="6"/>
  <c r="M332" i="6"/>
  <c r="M331" i="6" s="1"/>
  <c r="M330" i="6" s="1"/>
  <c r="M329" i="6" s="1"/>
  <c r="M328" i="6" s="1"/>
  <c r="M327" i="6"/>
  <c r="M326" i="6" s="1"/>
  <c r="M325" i="6" s="1"/>
  <c r="M324" i="6" s="1"/>
  <c r="M323" i="6" s="1"/>
  <c r="M322" i="6"/>
  <c r="M321" i="6" s="1"/>
  <c r="M320" i="6" s="1"/>
  <c r="M319" i="6" s="1"/>
  <c r="M318" i="6" s="1"/>
  <c r="M317" i="6"/>
  <c r="M316" i="6" s="1"/>
  <c r="M315" i="6" s="1"/>
  <c r="M314" i="6" s="1"/>
  <c r="M313" i="6" s="1"/>
  <c r="M312" i="6"/>
  <c r="M311" i="6" s="1"/>
  <c r="M310" i="6" s="1"/>
  <c r="M309" i="6" s="1"/>
  <c r="M308" i="6" s="1"/>
  <c r="M307" i="6"/>
  <c r="M306" i="6" s="1"/>
  <c r="M305" i="6" s="1"/>
  <c r="M304" i="6" s="1"/>
  <c r="M303" i="6" s="1"/>
  <c r="M302" i="6"/>
  <c r="M301" i="6" s="1"/>
  <c r="M300" i="6" s="1"/>
  <c r="M299" i="6" s="1"/>
  <c r="M297" i="6"/>
  <c r="M296" i="6" s="1"/>
  <c r="M295" i="6" s="1"/>
  <c r="M294" i="6" s="1"/>
  <c r="M293" i="6" s="1"/>
  <c r="M292" i="6"/>
  <c r="M291" i="6" s="1"/>
  <c r="M290" i="6" s="1"/>
  <c r="M289" i="6" s="1"/>
  <c r="M288" i="6" s="1"/>
  <c r="M287" i="6"/>
  <c r="M286" i="6" s="1"/>
  <c r="M285" i="6" s="1"/>
  <c r="M284" i="6" s="1"/>
  <c r="M283" i="6" s="1"/>
  <c r="M281" i="6"/>
  <c r="M280" i="6" s="1"/>
  <c r="M279" i="6"/>
  <c r="M278" i="6" s="1"/>
  <c r="M277" i="6"/>
  <c r="M276" i="6" s="1"/>
  <c r="M272" i="6"/>
  <c r="M271" i="6" s="1"/>
  <c r="M270" i="6"/>
  <c r="M269" i="6" s="1"/>
  <c r="M242" i="6"/>
  <c r="M237" i="6"/>
  <c r="M236" i="6" s="1"/>
  <c r="M235" i="6" s="1"/>
  <c r="M234" i="6"/>
  <c r="M233" i="6" s="1"/>
  <c r="M232" i="6" s="1"/>
  <c r="M229" i="6"/>
  <c r="M228" i="6" s="1"/>
  <c r="M227" i="6" s="1"/>
  <c r="M226" i="6"/>
  <c r="M225" i="6" s="1"/>
  <c r="M224" i="6" s="1"/>
  <c r="M223" i="6"/>
  <c r="M222" i="6"/>
  <c r="M216" i="6"/>
  <c r="M215" i="6" s="1"/>
  <c r="M214" i="6" s="1"/>
  <c r="M213" i="6" s="1"/>
  <c r="M212" i="6" s="1"/>
  <c r="M211" i="6" s="1"/>
  <c r="M210" i="6" s="1"/>
  <c r="M209" i="6"/>
  <c r="M208" i="6" s="1"/>
  <c r="M207" i="6" s="1"/>
  <c r="M206" i="6" s="1"/>
  <c r="M205" i="6" s="1"/>
  <c r="M204" i="6"/>
  <c r="M203" i="6" s="1"/>
  <c r="M202" i="6" s="1"/>
  <c r="M201" i="6" s="1"/>
  <c r="M200" i="6" s="1"/>
  <c r="M199" i="6"/>
  <c r="M198" i="6" s="1"/>
  <c r="M197" i="6" s="1"/>
  <c r="M196" i="6" s="1"/>
  <c r="M195" i="6" s="1"/>
  <c r="M192" i="6"/>
  <c r="M191" i="6" s="1"/>
  <c r="M190" i="6" s="1"/>
  <c r="M189" i="6"/>
  <c r="M188" i="6" s="1"/>
  <c r="M187" i="6" s="1"/>
  <c r="M181" i="6"/>
  <c r="M180" i="6" s="1"/>
  <c r="M179" i="6" s="1"/>
  <c r="M178" i="6" s="1"/>
  <c r="M177" i="6" s="1"/>
  <c r="M176" i="6"/>
  <c r="M175" i="6" s="1"/>
  <c r="M174" i="6" s="1"/>
  <c r="M173" i="6" s="1"/>
  <c r="M172" i="6" s="1"/>
  <c r="M171" i="6"/>
  <c r="M170" i="6" s="1"/>
  <c r="M169" i="6" s="1"/>
  <c r="M168" i="6" s="1"/>
  <c r="M167" i="6" s="1"/>
  <c r="M166" i="6"/>
  <c r="M165" i="6" s="1"/>
  <c r="M164" i="6" s="1"/>
  <c r="M163" i="6" s="1"/>
  <c r="M162" i="6" s="1"/>
  <c r="M161" i="6"/>
  <c r="M160" i="6" s="1"/>
  <c r="M159" i="6" s="1"/>
  <c r="M158" i="6"/>
  <c r="M157" i="6"/>
  <c r="M151" i="6"/>
  <c r="M150" i="6"/>
  <c r="M145" i="6"/>
  <c r="M144" i="6" s="1"/>
  <c r="M143" i="6" s="1"/>
  <c r="M142" i="6" s="1"/>
  <c r="M141" i="6"/>
  <c r="M140" i="6"/>
  <c r="M137" i="6"/>
  <c r="M136" i="6"/>
  <c r="M130" i="6"/>
  <c r="M129" i="6"/>
  <c r="M124" i="6"/>
  <c r="M123" i="6"/>
  <c r="M118" i="6"/>
  <c r="M117" i="6"/>
  <c r="M114" i="6"/>
  <c r="M113" i="6"/>
  <c r="M106" i="6"/>
  <c r="M105" i="6"/>
  <c r="M100" i="6"/>
  <c r="M99" i="6"/>
  <c r="M94" i="6"/>
  <c r="M93" i="6"/>
  <c r="M88" i="6"/>
  <c r="M87" i="6" s="1"/>
  <c r="M86" i="6" s="1"/>
  <c r="M85" i="6" s="1"/>
  <c r="M84" i="6" s="1"/>
  <c r="M82" i="6"/>
  <c r="M81" i="6" s="1"/>
  <c r="M80" i="6" s="1"/>
  <c r="M79" i="6" s="1"/>
  <c r="M78" i="6" s="1"/>
  <c r="M77" i="6" s="1"/>
  <c r="M76" i="6"/>
  <c r="M75" i="6"/>
  <c r="M72" i="6"/>
  <c r="M71" i="6"/>
  <c r="M63" i="6"/>
  <c r="M62" i="6"/>
  <c r="M55" i="6"/>
  <c r="M54" i="6" s="1"/>
  <c r="M53" i="6"/>
  <c r="M52" i="6" s="1"/>
  <c r="M47" i="6"/>
  <c r="M46" i="6" s="1"/>
  <c r="M45" i="6"/>
  <c r="M44" i="6" s="1"/>
  <c r="M43" i="6"/>
  <c r="M42" i="6" s="1"/>
  <c r="M38" i="6"/>
  <c r="M37" i="6"/>
  <c r="M32" i="6"/>
  <c r="M31" i="6" s="1"/>
  <c r="M30" i="6" s="1"/>
  <c r="M29" i="6"/>
  <c r="M28" i="6"/>
  <c r="M22" i="6"/>
  <c r="M21" i="6" s="1"/>
  <c r="M20" i="6" s="1"/>
  <c r="M19" i="6" s="1"/>
  <c r="M18" i="6" s="1"/>
  <c r="O1326" i="5"/>
  <c r="N1321" i="5"/>
  <c r="N1320" i="5" s="1"/>
  <c r="N1319" i="5" s="1"/>
  <c r="N1318" i="5" s="1"/>
  <c r="N1317" i="5" s="1"/>
  <c r="N1316" i="5" s="1"/>
  <c r="N1314" i="5"/>
  <c r="N1312" i="5"/>
  <c r="N1304" i="5"/>
  <c r="N1303" i="5" s="1"/>
  <c r="N1301" i="5"/>
  <c r="N1299" i="5"/>
  <c r="N1296" i="5"/>
  <c r="N1294" i="5"/>
  <c r="N1287" i="5"/>
  <c r="N1286" i="5" s="1"/>
  <c r="N1285" i="5" s="1"/>
  <c r="N1284" i="5" s="1"/>
  <c r="N1283" i="5" s="1"/>
  <c r="N1281" i="5"/>
  <c r="N1280" i="5" s="1"/>
  <c r="N1279" i="5" s="1"/>
  <c r="N1277" i="5"/>
  <c r="N1276" i="5" s="1"/>
  <c r="N1275" i="5" s="1"/>
  <c r="N1270" i="5"/>
  <c r="N1269" i="5" s="1"/>
  <c r="N1268" i="5" s="1"/>
  <c r="N1267" i="5" s="1"/>
  <c r="N1265" i="5"/>
  <c r="N1264" i="5" s="1"/>
  <c r="N1263" i="5" s="1"/>
  <c r="N1262" i="5" s="1"/>
  <c r="N1260" i="5"/>
  <c r="N1259" i="5" s="1"/>
  <c r="N1258" i="5" s="1"/>
  <c r="N1257" i="5" s="1"/>
  <c r="N1254" i="5"/>
  <c r="N1253" i="5" s="1"/>
  <c r="N1251" i="5"/>
  <c r="N1250" i="5" s="1"/>
  <c r="N1248" i="5"/>
  <c r="N1244" i="5"/>
  <c r="N1243" i="5" s="1"/>
  <c r="N1241" i="5"/>
  <c r="N1240" i="5" s="1"/>
  <c r="N1238" i="5"/>
  <c r="N1237" i="5" s="1"/>
  <c r="N1232" i="5"/>
  <c r="N1231" i="5" s="1"/>
  <c r="N1229" i="5"/>
  <c r="N1228" i="5" s="1"/>
  <c r="N1223" i="5"/>
  <c r="N1222" i="5" s="1"/>
  <c r="O1222" i="5" s="1"/>
  <c r="N1215" i="5"/>
  <c r="N1214" i="5" s="1"/>
  <c r="N1213" i="5" s="1"/>
  <c r="N1211" i="5"/>
  <c r="N1208" i="5"/>
  <c r="N1207" i="5" s="1"/>
  <c r="N1206" i="5" s="1"/>
  <c r="N1203" i="5"/>
  <c r="N1202" i="5" s="1"/>
  <c r="N1201" i="5" s="1"/>
  <c r="N1189" i="5"/>
  <c r="N1187" i="5"/>
  <c r="N1185" i="5"/>
  <c r="N1182" i="5"/>
  <c r="N1181" i="5" s="1"/>
  <c r="N1180" i="5" s="1"/>
  <c r="N1178" i="5"/>
  <c r="N1177" i="5" s="1"/>
  <c r="N1176" i="5" s="1"/>
  <c r="N1174" i="5"/>
  <c r="N1173" i="5" s="1"/>
  <c r="N1171" i="5"/>
  <c r="N1170" i="5" s="1"/>
  <c r="N1166" i="5"/>
  <c r="N1164" i="5"/>
  <c r="N1160" i="5"/>
  <c r="N1159" i="5" s="1"/>
  <c r="N1155" i="5"/>
  <c r="N1154" i="5" s="1"/>
  <c r="N1152" i="5"/>
  <c r="N1151" i="5" s="1"/>
  <c r="N1149" i="5"/>
  <c r="N1148" i="5" s="1"/>
  <c r="N1145" i="5"/>
  <c r="N1144" i="5" s="1"/>
  <c r="N1143" i="5" s="1"/>
  <c r="N1141" i="5"/>
  <c r="N1140" i="5" s="1"/>
  <c r="N1138" i="5"/>
  <c r="N1137" i="5" s="1"/>
  <c r="N1135" i="5"/>
  <c r="N1134" i="5" s="1"/>
  <c r="N1132" i="5"/>
  <c r="N1131" i="5" s="1"/>
  <c r="N1126" i="5"/>
  <c r="N1125" i="5" s="1"/>
  <c r="N1124" i="5" s="1"/>
  <c r="N1122" i="5"/>
  <c r="N1121" i="5" s="1"/>
  <c r="N1120" i="5" s="1"/>
  <c r="N1116" i="5"/>
  <c r="N1115" i="5" s="1"/>
  <c r="N1114" i="5" s="1"/>
  <c r="N1110" i="5"/>
  <c r="N1108" i="5"/>
  <c r="N1105" i="5"/>
  <c r="N1104" i="5" s="1"/>
  <c r="N1098" i="5"/>
  <c r="N1096" i="5"/>
  <c r="N1092" i="5"/>
  <c r="N1090" i="5"/>
  <c r="N1087" i="5"/>
  <c r="N1086" i="5" s="1"/>
  <c r="N1082" i="5"/>
  <c r="N1081" i="5" s="1"/>
  <c r="N1080" i="5" s="1"/>
  <c r="N1079" i="5" s="1"/>
  <c r="K60" i="1" s="1"/>
  <c r="N1077" i="5"/>
  <c r="N1076" i="5" s="1"/>
  <c r="N1073" i="5"/>
  <c r="N1072" i="5" s="1"/>
  <c r="N1069" i="5"/>
  <c r="N1068" i="5" s="1"/>
  <c r="N1062" i="5"/>
  <c r="N1061" i="5" s="1"/>
  <c r="N1060" i="5" s="1"/>
  <c r="N1059" i="5" s="1"/>
  <c r="N1056" i="5"/>
  <c r="N1055" i="5" s="1"/>
  <c r="N1054" i="5" s="1"/>
  <c r="N1053" i="5" s="1"/>
  <c r="N1049" i="5"/>
  <c r="N1047" i="5"/>
  <c r="N1045" i="5"/>
  <c r="N1042" i="5"/>
  <c r="N1040" i="5"/>
  <c r="N1034" i="5"/>
  <c r="N1033" i="5" s="1"/>
  <c r="N1032" i="5" s="1"/>
  <c r="N1031" i="5" s="1"/>
  <c r="N1029" i="5"/>
  <c r="N1028" i="5" s="1"/>
  <c r="N1026" i="5"/>
  <c r="N1025" i="5" s="1"/>
  <c r="N1021" i="5"/>
  <c r="N1020" i="5" s="1"/>
  <c r="N1018" i="5"/>
  <c r="N1017" i="5" s="1"/>
  <c r="N1015" i="5"/>
  <c r="N1014" i="5" s="1"/>
  <c r="N1010" i="5"/>
  <c r="N1009" i="5" s="1"/>
  <c r="N1008" i="5" s="1"/>
  <c r="N1006" i="5"/>
  <c r="N1005" i="5" s="1"/>
  <c r="N1003" i="5"/>
  <c r="N1002" i="5" s="1"/>
  <c r="N1000" i="5"/>
  <c r="N999" i="5" s="1"/>
  <c r="N997" i="5"/>
  <c r="N996" i="5" s="1"/>
  <c r="N994" i="5"/>
  <c r="N993" i="5" s="1"/>
  <c r="N991" i="5"/>
  <c r="N990" i="5" s="1"/>
  <c r="N988" i="5"/>
  <c r="N985" i="5"/>
  <c r="N984" i="5" s="1"/>
  <c r="N982" i="5"/>
  <c r="N981" i="5" s="1"/>
  <c r="N979" i="5"/>
  <c r="N978" i="5" s="1"/>
  <c r="N972" i="5"/>
  <c r="N971" i="5" s="1"/>
  <c r="N970" i="5" s="1"/>
  <c r="N969" i="5" s="1"/>
  <c r="N967" i="5"/>
  <c r="N966" i="5" s="1"/>
  <c r="N964" i="5"/>
  <c r="N963" i="5" s="1"/>
  <c r="N961" i="5"/>
  <c r="N960" i="5" s="1"/>
  <c r="N954" i="5"/>
  <c r="N953" i="5" s="1"/>
  <c r="N951" i="5"/>
  <c r="N950" i="5" s="1"/>
  <c r="N943" i="5"/>
  <c r="N942" i="5" s="1"/>
  <c r="N941" i="5" s="1"/>
  <c r="N940" i="5" s="1"/>
  <c r="N939" i="5" s="1"/>
  <c r="N936" i="5"/>
  <c r="N935" i="5" s="1"/>
  <c r="N934" i="5" s="1"/>
  <c r="N932" i="5"/>
  <c r="N931" i="5" s="1"/>
  <c r="N930" i="5" s="1"/>
  <c r="N929" i="5" s="1"/>
  <c r="N924" i="5"/>
  <c r="N923" i="5" s="1"/>
  <c r="N922" i="5" s="1"/>
  <c r="N921" i="5" s="1"/>
  <c r="N920" i="5" s="1"/>
  <c r="N918" i="5"/>
  <c r="N917" i="5" s="1"/>
  <c r="N916" i="5" s="1"/>
  <c r="N915" i="5" s="1"/>
  <c r="N912" i="5"/>
  <c r="N910" i="5"/>
  <c r="N906" i="5"/>
  <c r="N905" i="5" s="1"/>
  <c r="N903" i="5"/>
  <c r="N901" i="5"/>
  <c r="N892" i="5"/>
  <c r="N891" i="5" s="1"/>
  <c r="N890" i="5" s="1"/>
  <c r="N889" i="5" s="1"/>
  <c r="N888" i="5" s="1"/>
  <c r="N886" i="5"/>
  <c r="N885" i="5" s="1"/>
  <c r="N884" i="5" s="1"/>
  <c r="N883" i="5" s="1"/>
  <c r="N881" i="5"/>
  <c r="N880" i="5" s="1"/>
  <c r="N879" i="5" s="1"/>
  <c r="N878" i="5" s="1"/>
  <c r="N874" i="5"/>
  <c r="N873" i="5" s="1"/>
  <c r="N871" i="5"/>
  <c r="N870" i="5" s="1"/>
  <c r="N862" i="5"/>
  <c r="N860" i="5"/>
  <c r="N856" i="5"/>
  <c r="N854" i="5"/>
  <c r="N852" i="5"/>
  <c r="N849" i="5"/>
  <c r="N848" i="5" s="1"/>
  <c r="N847" i="5" s="1"/>
  <c r="N845" i="5"/>
  <c r="N844" i="5" s="1"/>
  <c r="N840" i="5"/>
  <c r="N839" i="5" s="1"/>
  <c r="N838" i="5" s="1"/>
  <c r="N835" i="5"/>
  <c r="N834" i="5" s="1"/>
  <c r="N833" i="5" s="1"/>
  <c r="N832" i="5" s="1"/>
  <c r="N829" i="5"/>
  <c r="N828" i="5" s="1"/>
  <c r="N823" i="5" s="1"/>
  <c r="N819" i="5"/>
  <c r="N818" i="5" s="1"/>
  <c r="N817" i="5" s="1"/>
  <c r="N815" i="5"/>
  <c r="N814" i="5" s="1"/>
  <c r="N813" i="5" s="1"/>
  <c r="N811" i="5"/>
  <c r="N810" i="5" s="1"/>
  <c r="N808" i="5"/>
  <c r="N807" i="5" s="1"/>
  <c r="N805" i="5"/>
  <c r="N804" i="5" s="1"/>
  <c r="N801" i="5"/>
  <c r="N800" i="5" s="1"/>
  <c r="N795" i="5"/>
  <c r="N794" i="5" s="1"/>
  <c r="N792" i="5"/>
  <c r="N791" i="5" s="1"/>
  <c r="N786" i="5"/>
  <c r="N785" i="5" s="1"/>
  <c r="N783" i="5"/>
  <c r="N782" i="5" s="1"/>
  <c r="N780" i="5"/>
  <c r="N779" i="5" s="1"/>
  <c r="N777" i="5"/>
  <c r="N776" i="5" s="1"/>
  <c r="N772" i="5"/>
  <c r="N771" i="5" s="1"/>
  <c r="N770" i="5" s="1"/>
  <c r="N758" i="5"/>
  <c r="N757" i="5" s="1"/>
  <c r="N755" i="5"/>
  <c r="N754" i="5" s="1"/>
  <c r="N751" i="5"/>
  <c r="N750" i="5" s="1"/>
  <c r="N749" i="5" s="1"/>
  <c r="N748" i="5" s="1"/>
  <c r="N746" i="5"/>
  <c r="N745" i="5" s="1"/>
  <c r="N744" i="5" s="1"/>
  <c r="N743" i="5" s="1"/>
  <c r="N739" i="5"/>
  <c r="N738" i="5" s="1"/>
  <c r="N735" i="5"/>
  <c r="N734" i="5" s="1"/>
  <c r="N733" i="5" s="1"/>
  <c r="N730" i="5"/>
  <c r="N729" i="5" s="1"/>
  <c r="N726" i="5"/>
  <c r="N725" i="5" s="1"/>
  <c r="N722" i="5"/>
  <c r="N721" i="5" s="1"/>
  <c r="N716" i="5"/>
  <c r="N715" i="5" s="1"/>
  <c r="N712" i="5"/>
  <c r="N711" i="5" s="1"/>
  <c r="N706" i="5"/>
  <c r="N705" i="5" s="1"/>
  <c r="N703" i="5"/>
  <c r="N702" i="5" s="1"/>
  <c r="N700" i="5"/>
  <c r="N699" i="5" s="1"/>
  <c r="N696" i="5"/>
  <c r="N695" i="5" s="1"/>
  <c r="N691" i="5"/>
  <c r="N690" i="5" s="1"/>
  <c r="N689" i="5" s="1"/>
  <c r="N683" i="5"/>
  <c r="N682" i="5" s="1"/>
  <c r="N680" i="5"/>
  <c r="N679" i="5" s="1"/>
  <c r="N676" i="5"/>
  <c r="N675" i="5" s="1"/>
  <c r="N672" i="5"/>
  <c r="N671" i="5" s="1"/>
  <c r="N670" i="5" s="1"/>
  <c r="N669" i="5" s="1"/>
  <c r="N668" i="5" s="1"/>
  <c r="N665" i="5"/>
  <c r="N664" i="5" s="1"/>
  <c r="N663" i="5" s="1"/>
  <c r="N662" i="5" s="1"/>
  <c r="N659" i="5"/>
  <c r="N658" i="5" s="1"/>
  <c r="N655" i="5"/>
  <c r="N654" i="5" s="1"/>
  <c r="N651" i="5"/>
  <c r="N650" i="5" s="1"/>
  <c r="N648" i="5"/>
  <c r="N647" i="5" s="1"/>
  <c r="N643" i="5"/>
  <c r="N642" i="5" s="1"/>
  <c r="N639" i="5"/>
  <c r="N638" i="5" s="1"/>
  <c r="N637" i="5" s="1"/>
  <c r="N630" i="5"/>
  <c r="N628" i="5"/>
  <c r="N624" i="5"/>
  <c r="N623" i="5" s="1"/>
  <c r="N617" i="5"/>
  <c r="N616" i="5" s="1"/>
  <c r="N614" i="5"/>
  <c r="N613" i="5" s="1"/>
  <c r="N608" i="5"/>
  <c r="N607" i="5" s="1"/>
  <c r="N606" i="5" s="1"/>
  <c r="N605" i="5" s="1"/>
  <c r="N604" i="5" s="1"/>
  <c r="N603" i="5" s="1"/>
  <c r="N600" i="5"/>
  <c r="N599" i="5" s="1"/>
  <c r="N598" i="5" s="1"/>
  <c r="N597" i="5" s="1"/>
  <c r="N594" i="5"/>
  <c r="N593" i="5" s="1"/>
  <c r="N592" i="5" s="1"/>
  <c r="N591" i="5" s="1"/>
  <c r="N589" i="5"/>
  <c r="N587" i="5"/>
  <c r="N581" i="5"/>
  <c r="N579" i="5"/>
  <c r="N574" i="5"/>
  <c r="N573" i="5" s="1"/>
  <c r="N572" i="5" s="1"/>
  <c r="N571" i="5" s="1"/>
  <c r="N568" i="5"/>
  <c r="N567" i="5" s="1"/>
  <c r="N565" i="5"/>
  <c r="N564" i="5" s="1"/>
  <c r="N562" i="5"/>
  <c r="N561" i="5" s="1"/>
  <c r="N559" i="5"/>
  <c r="N558" i="5" s="1"/>
  <c r="N556" i="5"/>
  <c r="N555" i="5" s="1"/>
  <c r="N551" i="5"/>
  <c r="N550" i="5" s="1"/>
  <c r="N549" i="5" s="1"/>
  <c r="N548" i="5" s="1"/>
  <c r="N536" i="5"/>
  <c r="N535" i="5" s="1"/>
  <c r="N534" i="5" s="1"/>
  <c r="N533" i="5" s="1"/>
  <c r="N532" i="5" s="1"/>
  <c r="N530" i="5"/>
  <c r="N529" i="5" s="1"/>
  <c r="N528" i="5" s="1"/>
  <c r="N526" i="5"/>
  <c r="N525" i="5" s="1"/>
  <c r="N523" i="5"/>
  <c r="N522" i="5" s="1"/>
  <c r="N521" i="5" s="1"/>
  <c r="N519" i="5"/>
  <c r="N518" i="5" s="1"/>
  <c r="N516" i="5"/>
  <c r="N515" i="5" s="1"/>
  <c r="N512" i="5"/>
  <c r="N510" i="5"/>
  <c r="N508" i="5"/>
  <c r="N501" i="5"/>
  <c r="N500" i="5" s="1"/>
  <c r="N499" i="5" s="1"/>
  <c r="N498" i="5" s="1"/>
  <c r="N495" i="5"/>
  <c r="N494" i="5" s="1"/>
  <c r="N493" i="5" s="1"/>
  <c r="N492" i="5" s="1"/>
  <c r="N491" i="5" s="1"/>
  <c r="N490" i="5" s="1"/>
  <c r="N487" i="5"/>
  <c r="N486" i="5" s="1"/>
  <c r="N485" i="5" s="1"/>
  <c r="N484" i="5" s="1"/>
  <c r="N483" i="5" s="1"/>
  <c r="N482" i="5" s="1"/>
  <c r="N481" i="5" s="1"/>
  <c r="N479" i="5"/>
  <c r="N478" i="5" s="1"/>
  <c r="N477" i="5" s="1"/>
  <c r="N476" i="5" s="1"/>
  <c r="N475" i="5" s="1"/>
  <c r="N473" i="5"/>
  <c r="N471" i="5"/>
  <c r="N469" i="5"/>
  <c r="N462" i="5"/>
  <c r="N461" i="5" s="1"/>
  <c r="N460" i="5" s="1"/>
  <c r="N459" i="5" s="1"/>
  <c r="N458" i="5" s="1"/>
  <c r="N457" i="5" s="1"/>
  <c r="K20" i="1" s="1"/>
  <c r="N453" i="5"/>
  <c r="N452" i="5" s="1"/>
  <c r="N450" i="5"/>
  <c r="N448" i="5"/>
  <c r="N446" i="5"/>
  <c r="N440" i="5"/>
  <c r="N438" i="5"/>
  <c r="N436" i="5"/>
  <c r="N430" i="5"/>
  <c r="N429" i="5" s="1"/>
  <c r="N428" i="5" s="1"/>
  <c r="N427" i="5" s="1"/>
  <c r="N425" i="5"/>
  <c r="N424" i="5" s="1"/>
  <c r="N423" i="5" s="1"/>
  <c r="N422" i="5" s="1"/>
  <c r="N420" i="5"/>
  <c r="N419" i="5" s="1"/>
  <c r="N418" i="5" s="1"/>
  <c r="N413" i="5"/>
  <c r="N412" i="5" s="1"/>
  <c r="N407" i="5"/>
  <c r="N406" i="5" s="1"/>
  <c r="N405" i="5" s="1"/>
  <c r="N402" i="5"/>
  <c r="N401" i="5" s="1"/>
  <c r="N399" i="5"/>
  <c r="N398" i="5" s="1"/>
  <c r="N396" i="5"/>
  <c r="N395" i="5" s="1"/>
  <c r="N391" i="5"/>
  <c r="N389" i="5"/>
  <c r="N386" i="5"/>
  <c r="N385" i="5" s="1"/>
  <c r="N384" i="5" s="1"/>
  <c r="N383" i="5" s="1"/>
  <c r="N381" i="5"/>
  <c r="N380" i="5" s="1"/>
  <c r="N379" i="5" s="1"/>
  <c r="N378" i="5" s="1"/>
  <c r="N376" i="5"/>
  <c r="N375" i="5" s="1"/>
  <c r="N374" i="5" s="1"/>
  <c r="N373" i="5" s="1"/>
  <c r="N371" i="5"/>
  <c r="N370" i="5" s="1"/>
  <c r="N369" i="5" s="1"/>
  <c r="N368" i="5" s="1"/>
  <c r="N364" i="5"/>
  <c r="N362" i="5"/>
  <c r="N355" i="5"/>
  <c r="N354" i="5" s="1"/>
  <c r="N352" i="5"/>
  <c r="N351" i="5" s="1"/>
  <c r="N349" i="5"/>
  <c r="N348" i="5" s="1"/>
  <c r="N344" i="5"/>
  <c r="N342" i="5"/>
  <c r="N340" i="5"/>
  <c r="N337" i="5"/>
  <c r="N336" i="5" s="1"/>
  <c r="N332" i="5"/>
  <c r="N331" i="5" s="1"/>
  <c r="N330" i="5" s="1"/>
  <c r="N329" i="5" s="1"/>
  <c r="N327" i="5"/>
  <c r="N326" i="5" s="1"/>
  <c r="N325" i="5" s="1"/>
  <c r="N323" i="5"/>
  <c r="N322" i="5" s="1"/>
  <c r="N321" i="5" s="1"/>
  <c r="N320" i="5" s="1"/>
  <c r="N318" i="5"/>
  <c r="N317" i="5" s="1"/>
  <c r="N316" i="5" s="1"/>
  <c r="N314" i="5"/>
  <c r="N313" i="5" s="1"/>
  <c r="N312" i="5" s="1"/>
  <c r="N309" i="5"/>
  <c r="N308" i="5" s="1"/>
  <c r="N307" i="5" s="1"/>
  <c r="N305" i="5"/>
  <c r="N304" i="5" s="1"/>
  <c r="N302" i="5"/>
  <c r="N301" i="5" s="1"/>
  <c r="N298" i="5"/>
  <c r="N297" i="5" s="1"/>
  <c r="N296" i="5" s="1"/>
  <c r="N294" i="5"/>
  <c r="N293" i="5" s="1"/>
  <c r="N292" i="5" s="1"/>
  <c r="N290" i="5"/>
  <c r="N289" i="5" s="1"/>
  <c r="N288" i="5" s="1"/>
  <c r="N286" i="5"/>
  <c r="N285" i="5" s="1"/>
  <c r="N284" i="5" s="1"/>
  <c r="N283" i="5" s="1"/>
  <c r="N279" i="5"/>
  <c r="N277" i="5"/>
  <c r="N274" i="5"/>
  <c r="N272" i="5"/>
  <c r="N265" i="5"/>
  <c r="N264" i="5" s="1"/>
  <c r="N263" i="5" s="1"/>
  <c r="N262" i="5" s="1"/>
  <c r="N261" i="5" s="1"/>
  <c r="N260" i="5" s="1"/>
  <c r="N259" i="5" s="1"/>
  <c r="N257" i="5"/>
  <c r="N256" i="5" s="1"/>
  <c r="N254" i="5"/>
  <c r="N253" i="5" s="1"/>
  <c r="N251" i="5"/>
  <c r="N250" i="5" s="1"/>
  <c r="N247" i="5"/>
  <c r="N246" i="5" s="1"/>
  <c r="N244" i="5"/>
  <c r="N243" i="5" s="1"/>
  <c r="N241" i="5"/>
  <c r="N240" i="5" s="1"/>
  <c r="N238" i="5"/>
  <c r="N237" i="5" s="1"/>
  <c r="N235" i="5"/>
  <c r="N234" i="5" s="1"/>
  <c r="N231" i="5"/>
  <c r="N230" i="5" s="1"/>
  <c r="N226" i="5"/>
  <c r="N225" i="5" s="1"/>
  <c r="N224" i="5" s="1"/>
  <c r="N222" i="5"/>
  <c r="N221" i="5" s="1"/>
  <c r="N220" i="5" s="1"/>
  <c r="N217" i="5"/>
  <c r="N216" i="5" s="1"/>
  <c r="N214" i="5"/>
  <c r="N213" i="5" s="1"/>
  <c r="N208" i="5"/>
  <c r="N207" i="5" s="1"/>
  <c r="N206" i="5" s="1"/>
  <c r="N204" i="5"/>
  <c r="N203" i="5" s="1"/>
  <c r="N201" i="5"/>
  <c r="N200" i="5" s="1"/>
  <c r="N197" i="5"/>
  <c r="N196" i="5" s="1"/>
  <c r="N192" i="5"/>
  <c r="N190" i="5"/>
  <c r="N184" i="5"/>
  <c r="N182" i="5"/>
  <c r="N180" i="5"/>
  <c r="N175" i="5"/>
  <c r="N174" i="5" s="1"/>
  <c r="N173" i="5" s="1"/>
  <c r="N171" i="5"/>
  <c r="N169" i="5"/>
  <c r="N166" i="5"/>
  <c r="N165" i="5" s="1"/>
  <c r="N162" i="5"/>
  <c r="N161" i="5" s="1"/>
  <c r="N159" i="5"/>
  <c r="N158" i="5" s="1"/>
  <c r="N156" i="5"/>
  <c r="N155" i="5" s="1"/>
  <c r="N152" i="5"/>
  <c r="N151" i="5" s="1"/>
  <c r="N149" i="5"/>
  <c r="N147" i="5"/>
  <c r="N145" i="5"/>
  <c r="N139" i="5"/>
  <c r="N138" i="5" s="1"/>
  <c r="N136" i="5"/>
  <c r="N135" i="5" s="1"/>
  <c r="N132" i="5"/>
  <c r="N131" i="5" s="1"/>
  <c r="N130" i="5" s="1"/>
  <c r="N129" i="5" s="1"/>
  <c r="N126" i="5"/>
  <c r="N125" i="5" s="1"/>
  <c r="N124" i="5" s="1"/>
  <c r="N122" i="5"/>
  <c r="N121" i="5" s="1"/>
  <c r="N119" i="5"/>
  <c r="N118" i="5" s="1"/>
  <c r="N116" i="5"/>
  <c r="N115" i="5" s="1"/>
  <c r="N111" i="5"/>
  <c r="N110" i="5" s="1"/>
  <c r="N108" i="5"/>
  <c r="N107" i="5" s="1"/>
  <c r="N105" i="5"/>
  <c r="N104" i="5" s="1"/>
  <c r="N101" i="5"/>
  <c r="N100" i="5" s="1"/>
  <c r="N98" i="5"/>
  <c r="N97" i="5" s="1"/>
  <c r="N93" i="5"/>
  <c r="N92" i="5" s="1"/>
  <c r="N91" i="5" s="1"/>
  <c r="N89" i="5"/>
  <c r="N88" i="5" s="1"/>
  <c r="N86" i="5"/>
  <c r="N85" i="5" s="1"/>
  <c r="N82" i="5"/>
  <c r="N80" i="5"/>
  <c r="N78" i="5"/>
  <c r="N73" i="5"/>
  <c r="N72" i="5" s="1"/>
  <c r="N71" i="5" s="1"/>
  <c r="N69" i="5"/>
  <c r="N68" i="5" s="1"/>
  <c r="N65" i="5"/>
  <c r="N64" i="5" s="1"/>
  <c r="N61" i="5"/>
  <c r="N60" i="5" s="1"/>
  <c r="N59" i="5" s="1"/>
  <c r="N57" i="5"/>
  <c r="N55" i="5"/>
  <c r="N52" i="5"/>
  <c r="N50" i="5"/>
  <c r="N48" i="5"/>
  <c r="N42" i="5"/>
  <c r="N41" i="5" s="1"/>
  <c r="N40" i="5" s="1"/>
  <c r="N35" i="5"/>
  <c r="N34" i="5" s="1"/>
  <c r="N32" i="5"/>
  <c r="N30" i="5"/>
  <c r="N27" i="5"/>
  <c r="N25" i="5"/>
  <c r="K307" i="6"/>
  <c r="L307" i="6" s="1"/>
  <c r="N307" i="6" s="1"/>
  <c r="M992" i="5"/>
  <c r="O992" i="5" s="1"/>
  <c r="L991" i="5"/>
  <c r="M991" i="5" s="1"/>
  <c r="O991" i="5" s="1"/>
  <c r="A307" i="6"/>
  <c r="A992" i="5"/>
  <c r="A306" i="6"/>
  <c r="A303" i="6"/>
  <c r="A991" i="5"/>
  <c r="A304" i="6"/>
  <c r="A990" i="5"/>
  <c r="M982" i="6" l="1"/>
  <c r="N1221" i="5"/>
  <c r="N29" i="5"/>
  <c r="N753" i="5"/>
  <c r="N909" i="5"/>
  <c r="N908" i="5" s="1"/>
  <c r="M427" i="6"/>
  <c r="M426" i="6" s="1"/>
  <c r="M425" i="6" s="1"/>
  <c r="M424" i="6" s="1"/>
  <c r="N179" i="5"/>
  <c r="N178" i="5" s="1"/>
  <c r="N177" i="5" s="1"/>
  <c r="N1293" i="5"/>
  <c r="N1311" i="5"/>
  <c r="N1310" i="5" s="1"/>
  <c r="N1309" i="5" s="1"/>
  <c r="N1308" i="5" s="1"/>
  <c r="N1307" i="5" s="1"/>
  <c r="N1306" i="5" s="1"/>
  <c r="M221" i="6"/>
  <c r="M220" i="6" s="1"/>
  <c r="M219" i="6" s="1"/>
  <c r="M218" i="6" s="1"/>
  <c r="M1108" i="6"/>
  <c r="M149" i="6"/>
  <c r="M148" i="6" s="1"/>
  <c r="M147" i="6" s="1"/>
  <c r="M146" i="6" s="1"/>
  <c r="N586" i="5"/>
  <c r="N585" i="5" s="1"/>
  <c r="N584" i="5" s="1"/>
  <c r="N583" i="5" s="1"/>
  <c r="K38" i="1" s="1"/>
  <c r="M375" i="6"/>
  <c r="M1007" i="6"/>
  <c r="L990" i="5"/>
  <c r="M990" i="5" s="1"/>
  <c r="O990" i="5" s="1"/>
  <c r="N168" i="5"/>
  <c r="N276" i="5"/>
  <c r="N851" i="5"/>
  <c r="N900" i="5"/>
  <c r="N899" i="5" s="1"/>
  <c r="N898" i="5" s="1"/>
  <c r="N897" i="5" s="1"/>
  <c r="N896" i="5" s="1"/>
  <c r="K24" i="1" s="1"/>
  <c r="N1119" i="5"/>
  <c r="K31" i="1" s="1"/>
  <c r="M896" i="6"/>
  <c r="M893" i="6" s="1"/>
  <c r="M892" i="6" s="1"/>
  <c r="M891" i="6" s="1"/>
  <c r="M1159" i="6"/>
  <c r="M1158" i="6" s="1"/>
  <c r="M1157" i="6" s="1"/>
  <c r="M1151" i="6" s="1"/>
  <c r="N799" i="5"/>
  <c r="N798" i="5" s="1"/>
  <c r="N797" i="5" s="1"/>
  <c r="M27" i="6"/>
  <c r="M26" i="6" s="1"/>
  <c r="M25" i="6" s="1"/>
  <c r="M24" i="6" s="1"/>
  <c r="M61" i="6"/>
  <c r="M60" i="6" s="1"/>
  <c r="M59" i="6" s="1"/>
  <c r="M74" i="6"/>
  <c r="M73" i="6" s="1"/>
  <c r="M128" i="6"/>
  <c r="M127" i="6" s="1"/>
  <c r="M126" i="6" s="1"/>
  <c r="M125" i="6" s="1"/>
  <c r="M139" i="6"/>
  <c r="M138" i="6" s="1"/>
  <c r="M395" i="6"/>
  <c r="M394" i="6" s="1"/>
  <c r="M393" i="6" s="1"/>
  <c r="M392" i="6" s="1"/>
  <c r="M548" i="6"/>
  <c r="M547" i="6" s="1"/>
  <c r="M546" i="6" s="1"/>
  <c r="M930" i="6"/>
  <c r="M1067" i="6"/>
  <c r="M1066" i="6" s="1"/>
  <c r="M1065" i="6" s="1"/>
  <c r="M421" i="6"/>
  <c r="M420" i="6" s="1"/>
  <c r="M419" i="6" s="1"/>
  <c r="M418" i="6" s="1"/>
  <c r="M486" i="6"/>
  <c r="M485" i="6" s="1"/>
  <c r="M484" i="6" s="1"/>
  <c r="M1095" i="6"/>
  <c r="M1094" i="6" s="1"/>
  <c r="M1093" i="6" s="1"/>
  <c r="M1088" i="6" s="1"/>
  <c r="M1174" i="6"/>
  <c r="M1168" i="6" s="1"/>
  <c r="M1358" i="6"/>
  <c r="M1417" i="6"/>
  <c r="M1416" i="6" s="1"/>
  <c r="M1415" i="6" s="1"/>
  <c r="M1414" i="6" s="1"/>
  <c r="N959" i="5"/>
  <c r="N958" i="5" s="1"/>
  <c r="N957" i="5" s="1"/>
  <c r="N956" i="5" s="1"/>
  <c r="N596" i="5"/>
  <c r="M104" i="6"/>
  <c r="M103" i="6" s="1"/>
  <c r="M102" i="6" s="1"/>
  <c r="M101" i="6" s="1"/>
  <c r="M116" i="6"/>
  <c r="M115" i="6" s="1"/>
  <c r="M194" i="6"/>
  <c r="M193" i="6" s="1"/>
  <c r="M241" i="6"/>
  <c r="M240" i="6" s="1"/>
  <c r="N938" i="5"/>
  <c r="K65" i="1"/>
  <c r="K64" i="1" s="1"/>
  <c r="N1247" i="5"/>
  <c r="N1246" i="5" s="1"/>
  <c r="M1022" i="6"/>
  <c r="M1021" i="6" s="1"/>
  <c r="M1020" i="6" s="1"/>
  <c r="N271" i="5"/>
  <c r="N404" i="5"/>
  <c r="N602" i="5"/>
  <c r="K52" i="1"/>
  <c r="K51" i="1" s="1"/>
  <c r="M461" i="6"/>
  <c r="M460" i="6" s="1"/>
  <c r="M844" i="6"/>
  <c r="N47" i="5"/>
  <c r="N435" i="5"/>
  <c r="N434" i="5" s="1"/>
  <c r="N433" i="5" s="1"/>
  <c r="N432" i="5" s="1"/>
  <c r="N507" i="5"/>
  <c r="N506" i="5" s="1"/>
  <c r="N505" i="5" s="1"/>
  <c r="N504" i="5" s="1"/>
  <c r="N503" i="5" s="1"/>
  <c r="N1113" i="5"/>
  <c r="M1005" i="6" s="1"/>
  <c r="M1006" i="6"/>
  <c r="M231" i="6"/>
  <c r="M230" i="6" s="1"/>
  <c r="M337" i="6"/>
  <c r="M336" i="6" s="1"/>
  <c r="M335" i="6" s="1"/>
  <c r="M334" i="6" s="1"/>
  <c r="M333" i="6" s="1"/>
  <c r="M404" i="6"/>
  <c r="M403" i="6" s="1"/>
  <c r="M413" i="6"/>
  <c r="M412" i="6" s="1"/>
  <c r="M411" i="6" s="1"/>
  <c r="M441" i="6"/>
  <c r="M440" i="6" s="1"/>
  <c r="M439" i="6" s="1"/>
  <c r="M583" i="6"/>
  <c r="M799" i="6"/>
  <c r="M794" i="6" s="1"/>
  <c r="M793" i="6" s="1"/>
  <c r="M792" i="6" s="1"/>
  <c r="M791" i="6" s="1"/>
  <c r="M923" i="6"/>
  <c r="M1053" i="6"/>
  <c r="M1052" i="6" s="1"/>
  <c r="M1051" i="6" s="1"/>
  <c r="M1353" i="6"/>
  <c r="K306" i="6"/>
  <c r="K305" i="6" s="1"/>
  <c r="L305" i="6" s="1"/>
  <c r="N305" i="6" s="1"/>
  <c r="N103" i="5"/>
  <c r="N114" i="5"/>
  <c r="N113" i="5" s="1"/>
  <c r="N347" i="5"/>
  <c r="N346" i="5" s="1"/>
  <c r="N361" i="5"/>
  <c r="N360" i="5" s="1"/>
  <c r="N359" i="5" s="1"/>
  <c r="N358" i="5" s="1"/>
  <c r="K54" i="1" s="1"/>
  <c r="N1039" i="5"/>
  <c r="N1038" i="5" s="1"/>
  <c r="N1089" i="5"/>
  <c r="M41" i="6"/>
  <c r="M40" i="6" s="1"/>
  <c r="M39" i="6" s="1"/>
  <c r="M51" i="6"/>
  <c r="M50" i="6" s="1"/>
  <c r="M49" i="6" s="1"/>
  <c r="M48" i="6" s="1"/>
  <c r="M268" i="6"/>
  <c r="M267" i="6" s="1"/>
  <c r="M266" i="6" s="1"/>
  <c r="M265" i="6" s="1"/>
  <c r="M769" i="6"/>
  <c r="M768" i="6" s="1"/>
  <c r="M767" i="6" s="1"/>
  <c r="M766" i="6" s="1"/>
  <c r="M760" i="6" s="1"/>
  <c r="M36" i="6"/>
  <c r="M35" i="6" s="1"/>
  <c r="M34" i="6" s="1"/>
  <c r="M33" i="6" s="1"/>
  <c r="M98" i="6"/>
  <c r="M97" i="6" s="1"/>
  <c r="M96" i="6" s="1"/>
  <c r="M95" i="6" s="1"/>
  <c r="M112" i="6"/>
  <c r="M111" i="6" s="1"/>
  <c r="M122" i="6"/>
  <c r="M121" i="6" s="1"/>
  <c r="M120" i="6" s="1"/>
  <c r="M119" i="6" s="1"/>
  <c r="M275" i="6"/>
  <c r="M274" i="6" s="1"/>
  <c r="M273" i="6" s="1"/>
  <c r="M361" i="6"/>
  <c r="M355" i="6" s="1"/>
  <c r="M408" i="6"/>
  <c r="M407" i="6" s="1"/>
  <c r="M574" i="6"/>
  <c r="M573" i="6" s="1"/>
  <c r="M572" i="6" s="1"/>
  <c r="M571" i="6" s="1"/>
  <c r="M570" i="6" s="1"/>
  <c r="M592" i="6"/>
  <c r="M778" i="6"/>
  <c r="M777" i="6" s="1"/>
  <c r="M776" i="6" s="1"/>
  <c r="M775" i="6" s="1"/>
  <c r="M1300" i="6"/>
  <c r="M1299" i="6" s="1"/>
  <c r="M1294" i="6" s="1"/>
  <c r="M1288" i="6" s="1"/>
  <c r="M92" i="6"/>
  <c r="M91" i="6" s="1"/>
  <c r="M90" i="6" s="1"/>
  <c r="M89" i="6" s="1"/>
  <c r="M135" i="6"/>
  <c r="M134" i="6" s="1"/>
  <c r="M156" i="6"/>
  <c r="M155" i="6" s="1"/>
  <c r="M154" i="6" s="1"/>
  <c r="M153" i="6" s="1"/>
  <c r="M152" i="6" s="1"/>
  <c r="M719" i="6"/>
  <c r="M786" i="6"/>
  <c r="M785" i="6" s="1"/>
  <c r="M784" i="6" s="1"/>
  <c r="M1139" i="6"/>
  <c r="M1134" i="6" s="1"/>
  <c r="M748" i="6"/>
  <c r="M747" i="6"/>
  <c r="M812" i="6"/>
  <c r="M529" i="6"/>
  <c r="M1078" i="6"/>
  <c r="M1325" i="6"/>
  <c r="M1324" i="6" s="1"/>
  <c r="M1427" i="6"/>
  <c r="M1426" i="6" s="1"/>
  <c r="M70" i="6"/>
  <c r="M69" i="6" s="1"/>
  <c r="M186" i="6"/>
  <c r="M185" i="6" s="1"/>
  <c r="M184" i="6" s="1"/>
  <c r="M183" i="6" s="1"/>
  <c r="M298" i="6"/>
  <c r="M282" i="6" s="1"/>
  <c r="M635" i="6"/>
  <c r="M634" i="6" s="1"/>
  <c r="M633" i="6" s="1"/>
  <c r="M642" i="6"/>
  <c r="M641" i="6" s="1"/>
  <c r="M640" i="6" s="1"/>
  <c r="M690" i="6"/>
  <c r="M689" i="6" s="1"/>
  <c r="M688" i="6" s="1"/>
  <c r="M687" i="6" s="1"/>
  <c r="M1009" i="6"/>
  <c r="M1125" i="6"/>
  <c r="M1239" i="6"/>
  <c r="M1238" i="6" s="1"/>
  <c r="M1232" i="6" s="1"/>
  <c r="M454" i="6"/>
  <c r="M453" i="6" s="1"/>
  <c r="M452" i="6" s="1"/>
  <c r="M479" i="6"/>
  <c r="M478" i="6" s="1"/>
  <c r="M477" i="6" s="1"/>
  <c r="M563" i="6"/>
  <c r="M559" i="6" s="1"/>
  <c r="M558" i="6" s="1"/>
  <c r="M1270" i="6"/>
  <c r="M1269" i="6" s="1"/>
  <c r="M1264" i="6" s="1"/>
  <c r="M1253" i="6" s="1"/>
  <c r="M1374" i="6"/>
  <c r="M1373" i="6" s="1"/>
  <c r="M1372" i="6" s="1"/>
  <c r="M503" i="6"/>
  <c r="M497" i="6" s="1"/>
  <c r="M677" i="6"/>
  <c r="M676" i="6" s="1"/>
  <c r="M675" i="6" s="1"/>
  <c r="M703" i="6"/>
  <c r="M876" i="6"/>
  <c r="M871" i="6" s="1"/>
  <c r="M907" i="6"/>
  <c r="M906" i="6" s="1"/>
  <c r="M905" i="6" s="1"/>
  <c r="M904" i="6" s="1"/>
  <c r="M1118" i="6"/>
  <c r="M1117" i="6" s="1"/>
  <c r="M1194" i="6"/>
  <c r="M1193" i="6" s="1"/>
  <c r="M1192" i="6" s="1"/>
  <c r="M1186" i="6" s="1"/>
  <c r="M1206" i="6"/>
  <c r="M1221" i="6"/>
  <c r="M1220" i="6" s="1"/>
  <c r="M1215" i="6" s="1"/>
  <c r="M1403" i="6"/>
  <c r="M1402" i="6" s="1"/>
  <c r="M1401" i="6" s="1"/>
  <c r="M1400" i="6" s="1"/>
  <c r="M1399" i="6" s="1"/>
  <c r="M1455" i="6"/>
  <c r="M1454" i="6" s="1"/>
  <c r="M1453" i="6" s="1"/>
  <c r="M1447" i="6" s="1"/>
  <c r="K304" i="6"/>
  <c r="N134" i="5"/>
  <c r="N128" i="5" s="1"/>
  <c r="N54" i="5"/>
  <c r="N339" i="5"/>
  <c r="N335" i="5" s="1"/>
  <c r="N334" i="5" s="1"/>
  <c r="K46" i="1" s="1"/>
  <c r="N388" i="5"/>
  <c r="N367" i="5" s="1"/>
  <c r="N24" i="5"/>
  <c r="N212" i="5"/>
  <c r="N211" i="5" s="1"/>
  <c r="N210" i="5" s="1"/>
  <c r="N249" i="5"/>
  <c r="N578" i="5"/>
  <c r="N577" i="5" s="1"/>
  <c r="N576" i="5" s="1"/>
  <c r="N570" i="5" s="1"/>
  <c r="N859" i="5"/>
  <c r="N858" i="5" s="1"/>
  <c r="N869" i="5"/>
  <c r="N868" i="5" s="1"/>
  <c r="N867" i="5" s="1"/>
  <c r="N866" i="5" s="1"/>
  <c r="N865" i="5" s="1"/>
  <c r="N1024" i="5"/>
  <c r="N1023" i="5" s="1"/>
  <c r="N1095" i="5"/>
  <c r="N1094" i="5" s="1"/>
  <c r="N1184" i="5"/>
  <c r="N84" i="5"/>
  <c r="N164" i="5"/>
  <c r="N394" i="5"/>
  <c r="N1236" i="5"/>
  <c r="N1235" i="5" s="1"/>
  <c r="N1234" i="5" s="1"/>
  <c r="N1298" i="5"/>
  <c r="N189" i="5"/>
  <c r="N188" i="5" s="1"/>
  <c r="N187" i="5" s="1"/>
  <c r="K30" i="1" s="1"/>
  <c r="N300" i="5"/>
  <c r="N627" i="5"/>
  <c r="N626" i="5" s="1"/>
  <c r="N622" i="5" s="1"/>
  <c r="N621" i="5" s="1"/>
  <c r="N620" i="5" s="1"/>
  <c r="N619" i="5" s="1"/>
  <c r="N949" i="5"/>
  <c r="N948" i="5" s="1"/>
  <c r="N947" i="5" s="1"/>
  <c r="N946" i="5" s="1"/>
  <c r="N1220" i="5"/>
  <c r="N1219" i="5" s="1"/>
  <c r="N1218" i="5" s="1"/>
  <c r="N468" i="5"/>
  <c r="N467" i="5" s="1"/>
  <c r="N466" i="5" s="1"/>
  <c r="N465" i="5" s="1"/>
  <c r="N464" i="5" s="1"/>
  <c r="N742" i="5"/>
  <c r="N1067" i="5"/>
  <c r="N1066" i="5" s="1"/>
  <c r="K59" i="1" s="1"/>
  <c r="N1163" i="5"/>
  <c r="N1162" i="5" s="1"/>
  <c r="N1158" i="5" s="1"/>
  <c r="N1274" i="5"/>
  <c r="N1273" i="5" s="1"/>
  <c r="N1272" i="5" s="1"/>
  <c r="N1107" i="5"/>
  <c r="N1103" i="5" s="1"/>
  <c r="N1044" i="5"/>
  <c r="N1013" i="5"/>
  <c r="N987" i="5"/>
  <c r="N977" i="5" s="1"/>
  <c r="N822" i="5"/>
  <c r="N821" i="5" s="1"/>
  <c r="N710" i="5"/>
  <c r="N674" i="5"/>
  <c r="N646" i="5"/>
  <c r="N636" i="5" s="1"/>
  <c r="N445" i="5"/>
  <c r="N444" i="5" s="1"/>
  <c r="N443" i="5" s="1"/>
  <c r="N233" i="5"/>
  <c r="N229" i="5" s="1"/>
  <c r="N144" i="5"/>
  <c r="N77" i="5"/>
  <c r="N76" i="5" s="1"/>
  <c r="N554" i="5"/>
  <c r="N553" i="5" s="1"/>
  <c r="N63" i="5"/>
  <c r="N199" i="5"/>
  <c r="N195" i="5" s="1"/>
  <c r="N219" i="5"/>
  <c r="N311" i="5"/>
  <c r="N694" i="5"/>
  <c r="N693" i="5" s="1"/>
  <c r="N877" i="5"/>
  <c r="N876" i="5" s="1"/>
  <c r="K56" i="1" s="1"/>
  <c r="N1052" i="5"/>
  <c r="N96" i="5"/>
  <c r="N95" i="5" s="1"/>
  <c r="N154" i="5"/>
  <c r="N612" i="5"/>
  <c r="N611" i="5" s="1"/>
  <c r="N610" i="5" s="1"/>
  <c r="N720" i="5"/>
  <c r="N719" i="5" s="1"/>
  <c r="N775" i="5"/>
  <c r="N774" i="5" s="1"/>
  <c r="N790" i="5"/>
  <c r="N789" i="5" s="1"/>
  <c r="N788" i="5" s="1"/>
  <c r="N928" i="5"/>
  <c r="N927" i="5" s="1"/>
  <c r="N926" i="5" s="1"/>
  <c r="N1130" i="5"/>
  <c r="N1147" i="5"/>
  <c r="N1205" i="5"/>
  <c r="N1256" i="5"/>
  <c r="N1169" i="5"/>
  <c r="N37" i="5"/>
  <c r="K23" i="1" s="1"/>
  <c r="N39" i="5"/>
  <c r="N38" i="5" s="1"/>
  <c r="N914" i="5"/>
  <c r="K25" i="1" s="1"/>
  <c r="K1398" i="6"/>
  <c r="K1397" i="6" s="1"/>
  <c r="L132" i="5"/>
  <c r="L131" i="5" s="1"/>
  <c r="L130" i="5" s="1"/>
  <c r="L129" i="5" s="1"/>
  <c r="M129" i="5" s="1"/>
  <c r="O129" i="5" s="1"/>
  <c r="M133" i="5"/>
  <c r="O133" i="5" s="1"/>
  <c r="H1021" i="6"/>
  <c r="K1045" i="6"/>
  <c r="K1044" i="6" s="1"/>
  <c r="K1043" i="6" s="1"/>
  <c r="K1042" i="6" s="1"/>
  <c r="K1041" i="6" s="1"/>
  <c r="K1050" i="6"/>
  <c r="K1049" i="6" s="1"/>
  <c r="K1048" i="6" s="1"/>
  <c r="K1047" i="6" s="1"/>
  <c r="K1046" i="6" s="1"/>
  <c r="M1255" i="5"/>
  <c r="O1255" i="5" s="1"/>
  <c r="L1254" i="5"/>
  <c r="L1253" i="5" s="1"/>
  <c r="M1253" i="5" s="1"/>
  <c r="O1253" i="5" s="1"/>
  <c r="M1252" i="5"/>
  <c r="O1252" i="5" s="1"/>
  <c r="L1251" i="5"/>
  <c r="L1250" i="5" s="1"/>
  <c r="M1250" i="5" s="1"/>
  <c r="O1250" i="5" s="1"/>
  <c r="A1042" i="6"/>
  <c r="A1398" i="6"/>
  <c r="A130" i="5"/>
  <c r="A1045" i="6"/>
  <c r="A1255" i="5"/>
  <c r="A129" i="5"/>
  <c r="A1044" i="6"/>
  <c r="A1254" i="5"/>
  <c r="A1049" i="6"/>
  <c r="A1253" i="5"/>
  <c r="A1050" i="6"/>
  <c r="A132" i="5"/>
  <c r="A1394" i="6"/>
  <c r="A125" i="5"/>
  <c r="A1395" i="6"/>
  <c r="A1397" i="6"/>
  <c r="A1046" i="6"/>
  <c r="A131" i="5"/>
  <c r="A1041" i="6"/>
  <c r="A133" i="5"/>
  <c r="A1047" i="6"/>
  <c r="N228" i="5" l="1"/>
  <c r="M239" i="6"/>
  <c r="M238" i="6" s="1"/>
  <c r="M217" i="6" s="1"/>
  <c r="N1192" i="5"/>
  <c r="K37" i="1" s="1"/>
  <c r="N23" i="5"/>
  <c r="N22" i="5" s="1"/>
  <c r="N21" i="5" s="1"/>
  <c r="N20" i="5" s="1"/>
  <c r="K22" i="1" s="1"/>
  <c r="N539" i="5"/>
  <c r="K36" i="1" s="1"/>
  <c r="M58" i="6"/>
  <c r="M57" i="6" s="1"/>
  <c r="N393" i="5"/>
  <c r="M476" i="6"/>
  <c r="M459" i="6" s="1"/>
  <c r="N194" i="5"/>
  <c r="K33" i="1" s="1"/>
  <c r="N1102" i="5"/>
  <c r="N1101" i="5" s="1"/>
  <c r="N1292" i="5"/>
  <c r="N1291" i="5" s="1"/>
  <c r="N1290" i="5" s="1"/>
  <c r="N1289" i="5" s="1"/>
  <c r="N270" i="5"/>
  <c r="N269" i="5" s="1"/>
  <c r="N268" i="5" s="1"/>
  <c r="N267" i="5" s="1"/>
  <c r="N1168" i="5"/>
  <c r="N1157" i="5" s="1"/>
  <c r="K34" i="1" s="1"/>
  <c r="N976" i="5"/>
  <c r="N975" i="5" s="1"/>
  <c r="K49" i="1" s="1"/>
  <c r="M133" i="6"/>
  <c r="M132" i="6" s="1"/>
  <c r="M131" i="6" s="1"/>
  <c r="M545" i="6"/>
  <c r="M68" i="6"/>
  <c r="M67" i="6" s="1"/>
  <c r="M914" i="6"/>
  <c r="M913" i="6" s="1"/>
  <c r="M83" i="6"/>
  <c r="M438" i="6"/>
  <c r="M437" i="6" s="1"/>
  <c r="N1037" i="5"/>
  <c r="N1036" i="5" s="1"/>
  <c r="K50" i="1" s="1"/>
  <c r="N46" i="5"/>
  <c r="N45" i="5" s="1"/>
  <c r="N843" i="5"/>
  <c r="N842" i="5" s="1"/>
  <c r="K47" i="1" s="1"/>
  <c r="L306" i="6"/>
  <c r="N306" i="6" s="1"/>
  <c r="M702" i="6"/>
  <c r="N1085" i="5"/>
  <c r="N1084" i="5" s="1"/>
  <c r="K61" i="1" s="1"/>
  <c r="K58" i="1" s="1"/>
  <c r="M110" i="6"/>
  <c r="M109" i="6" s="1"/>
  <c r="M108" i="6" s="1"/>
  <c r="N635" i="5"/>
  <c r="N634" i="5" s="1"/>
  <c r="K42" i="1" s="1"/>
  <c r="M783" i="6"/>
  <c r="M774" i="6" s="1"/>
  <c r="M582" i="6"/>
  <c r="M1287" i="6"/>
  <c r="M1352" i="6"/>
  <c r="M1351" i="6" s="1"/>
  <c r="M1350" i="6" s="1"/>
  <c r="M1343" i="6" s="1"/>
  <c r="M1342" i="6" s="1"/>
  <c r="M870" i="6"/>
  <c r="M264" i="6"/>
  <c r="N442" i="5"/>
  <c r="K63" i="1"/>
  <c r="K62" i="1" s="1"/>
  <c r="M1205" i="6"/>
  <c r="M1185" i="6" s="1"/>
  <c r="M1004" i="6"/>
  <c r="M1003" i="6" s="1"/>
  <c r="N864" i="5"/>
  <c r="N75" i="5"/>
  <c r="N366" i="5"/>
  <c r="N456" i="5"/>
  <c r="N455" i="5" s="1"/>
  <c r="K21" i="1"/>
  <c r="M182" i="6"/>
  <c r="M402" i="6"/>
  <c r="M401" i="6" s="1"/>
  <c r="M386" i="6" s="1"/>
  <c r="N1217" i="5"/>
  <c r="M23" i="6"/>
  <c r="N497" i="5"/>
  <c r="K44" i="1"/>
  <c r="M632" i="6"/>
  <c r="M626" i="6" s="1"/>
  <c r="M1087" i="6"/>
  <c r="M1064" i="6" s="1"/>
  <c r="K303" i="6"/>
  <c r="L303" i="6" s="1"/>
  <c r="N303" i="6" s="1"/>
  <c r="L304" i="6"/>
  <c r="N304" i="6" s="1"/>
  <c r="N143" i="5"/>
  <c r="N142" i="5" s="1"/>
  <c r="N538" i="5"/>
  <c r="N282" i="5"/>
  <c r="K45" i="1" s="1"/>
  <c r="N1129" i="5"/>
  <c r="N1128" i="5" s="1"/>
  <c r="K32" i="1" s="1"/>
  <c r="N709" i="5"/>
  <c r="N708" i="5" s="1"/>
  <c r="N895" i="5"/>
  <c r="N894" i="5" s="1"/>
  <c r="L1398" i="6"/>
  <c r="N1398" i="6" s="1"/>
  <c r="K1396" i="6"/>
  <c r="L1397" i="6"/>
  <c r="N1397" i="6" s="1"/>
  <c r="M132" i="5"/>
  <c r="O132" i="5" s="1"/>
  <c r="M131" i="5"/>
  <c r="O131" i="5" s="1"/>
  <c r="M130" i="5"/>
  <c r="O130" i="5" s="1"/>
  <c r="L1046" i="6"/>
  <c r="N1046" i="6" s="1"/>
  <c r="L1041" i="6"/>
  <c r="N1041" i="6" s="1"/>
  <c r="L1045" i="6"/>
  <c r="N1045" i="6" s="1"/>
  <c r="L1042" i="6"/>
  <c r="N1042" i="6" s="1"/>
  <c r="L1050" i="6"/>
  <c r="N1050" i="6" s="1"/>
  <c r="L1049" i="6"/>
  <c r="N1049" i="6" s="1"/>
  <c r="L1044" i="6"/>
  <c r="N1044" i="6" s="1"/>
  <c r="L1043" i="6"/>
  <c r="N1043" i="6" s="1"/>
  <c r="M1251" i="5"/>
  <c r="O1251" i="5" s="1"/>
  <c r="M1254" i="5"/>
  <c r="O1254" i="5" s="1"/>
  <c r="K312" i="6"/>
  <c r="L312" i="6" s="1"/>
  <c r="N312" i="6" s="1"/>
  <c r="M995" i="5"/>
  <c r="O995" i="5" s="1"/>
  <c r="L994" i="5"/>
  <c r="L993" i="5" s="1"/>
  <c r="A995" i="5"/>
  <c r="A309" i="6"/>
  <c r="A1251" i="5"/>
  <c r="A312" i="6"/>
  <c r="A993" i="5"/>
  <c r="A1252" i="5"/>
  <c r="A994" i="5"/>
  <c r="A1250" i="5"/>
  <c r="A311" i="6"/>
  <c r="A308" i="6"/>
  <c r="K57" i="1" l="1"/>
  <c r="N1191" i="5"/>
  <c r="K35" i="1"/>
  <c r="N186" i="5"/>
  <c r="N281" i="5"/>
  <c r="N974" i="5"/>
  <c r="N945" i="5" s="1"/>
  <c r="M107" i="6"/>
  <c r="N489" i="5"/>
  <c r="K40" i="1"/>
  <c r="K39" i="1" s="1"/>
  <c r="K48" i="1"/>
  <c r="K29" i="1"/>
  <c r="M56" i="6"/>
  <c r="M912" i="6"/>
  <c r="N44" i="5"/>
  <c r="K26" i="1" s="1"/>
  <c r="K19" i="1" s="1"/>
  <c r="N1065" i="5"/>
  <c r="N1051" i="5" s="1"/>
  <c r="N141" i="5"/>
  <c r="K28" i="1"/>
  <c r="K27" i="1" s="1"/>
  <c r="N357" i="5"/>
  <c r="K55" i="1"/>
  <c r="K53" i="1" s="1"/>
  <c r="N633" i="5"/>
  <c r="N632" i="5" s="1"/>
  <c r="K43" i="1"/>
  <c r="K41" i="1" s="1"/>
  <c r="N1118" i="5"/>
  <c r="N1100" i="5" s="1"/>
  <c r="K1395" i="6"/>
  <c r="L1396" i="6"/>
  <c r="N1396" i="6" s="1"/>
  <c r="L1047" i="6"/>
  <c r="N1047" i="6" s="1"/>
  <c r="L1048" i="6"/>
  <c r="N1048" i="6" s="1"/>
  <c r="K311" i="6"/>
  <c r="M993" i="5"/>
  <c r="O993" i="5" s="1"/>
  <c r="M994" i="5"/>
  <c r="O994" i="5" s="1"/>
  <c r="L1209" i="5"/>
  <c r="L1261" i="5"/>
  <c r="L1011" i="5"/>
  <c r="A1247" i="5"/>
  <c r="N19" i="5" l="1"/>
  <c r="N18" i="5" s="1"/>
  <c r="N1323" i="5" s="1"/>
  <c r="N1325" i="5" s="1"/>
  <c r="N1333" i="5" s="1"/>
  <c r="M17" i="6"/>
  <c r="K66" i="1"/>
  <c r="K68" i="1" s="1"/>
  <c r="K1394" i="6"/>
  <c r="L1394" i="6" s="1"/>
  <c r="N1394" i="6" s="1"/>
  <c r="L1395" i="6"/>
  <c r="N1395" i="6" s="1"/>
  <c r="K310" i="6"/>
  <c r="L311" i="6"/>
  <c r="N311" i="6" s="1"/>
  <c r="L998" i="5"/>
  <c r="L830" i="5"/>
  <c r="M1464" i="6" l="1"/>
  <c r="M1466" i="6" s="1"/>
  <c r="K309" i="6"/>
  <c r="L310" i="6"/>
  <c r="N310" i="6" s="1"/>
  <c r="L1133" i="5"/>
  <c r="L1172" i="5"/>
  <c r="K961" i="6" s="1"/>
  <c r="L961" i="6" s="1"/>
  <c r="N961" i="6" s="1"/>
  <c r="A958" i="6"/>
  <c r="A957" i="6"/>
  <c r="A960" i="6"/>
  <c r="A961" i="6"/>
  <c r="M1468" i="6" l="1"/>
  <c r="K70" i="1"/>
  <c r="K308" i="6"/>
  <c r="L309" i="6"/>
  <c r="N309" i="6" s="1"/>
  <c r="K960" i="6"/>
  <c r="L960" i="6" s="1"/>
  <c r="N960" i="6" s="1"/>
  <c r="M1172" i="5"/>
  <c r="O1172" i="5" s="1"/>
  <c r="L1171" i="5"/>
  <c r="L1170" i="5" s="1"/>
  <c r="M1170" i="5" s="1"/>
  <c r="O1170" i="5" s="1"/>
  <c r="A1172" i="5"/>
  <c r="A1171" i="5"/>
  <c r="A1170" i="5"/>
  <c r="L308" i="6" l="1"/>
  <c r="N308" i="6" s="1"/>
  <c r="K959" i="6"/>
  <c r="L959" i="6" s="1"/>
  <c r="N959" i="6" s="1"/>
  <c r="M1171" i="5"/>
  <c r="O1171" i="5" s="1"/>
  <c r="L1106" i="5"/>
  <c r="L755" i="5"/>
  <c r="L678" i="5"/>
  <c r="L677" i="5"/>
  <c r="L741" i="5"/>
  <c r="L740" i="5"/>
  <c r="K118" i="6"/>
  <c r="L118" i="6" s="1"/>
  <c r="N118" i="6" s="1"/>
  <c r="A118" i="6"/>
  <c r="K958" i="6" l="1"/>
  <c r="L958" i="6" s="1"/>
  <c r="N958" i="6" s="1"/>
  <c r="M837" i="5"/>
  <c r="O837" i="5" s="1"/>
  <c r="A837" i="5"/>
  <c r="K957" i="6" l="1"/>
  <c r="L957" i="6" s="1"/>
  <c r="N957" i="6" s="1"/>
  <c r="L724" i="5"/>
  <c r="L836" i="5"/>
  <c r="L835" i="5" s="1"/>
  <c r="L644" i="5"/>
  <c r="L714" i="5"/>
  <c r="L713" i="5"/>
  <c r="L563" i="5"/>
  <c r="L513" i="5"/>
  <c r="L1006" i="5"/>
  <c r="L1005" i="5" s="1"/>
  <c r="M1005" i="5" s="1"/>
  <c r="O1005" i="5" s="1"/>
  <c r="M1007" i="5"/>
  <c r="O1007" i="5" s="1"/>
  <c r="K332" i="6"/>
  <c r="A1005" i="5"/>
  <c r="A1006" i="5"/>
  <c r="A328" i="6"/>
  <c r="A332" i="6"/>
  <c r="A331" i="6"/>
  <c r="A1007" i="5"/>
  <c r="A329" i="6"/>
  <c r="K331" i="6" l="1"/>
  <c r="L331" i="6" s="1"/>
  <c r="N331" i="6" s="1"/>
  <c r="L332" i="6"/>
  <c r="N332" i="6" s="1"/>
  <c r="M1006" i="5"/>
  <c r="O1006" i="5" s="1"/>
  <c r="L232" i="5"/>
  <c r="L241" i="5"/>
  <c r="L240" i="5" s="1"/>
  <c r="K1286" i="6"/>
  <c r="A1282" i="6"/>
  <c r="A1285" i="6"/>
  <c r="A1283" i="6"/>
  <c r="A1286" i="6"/>
  <c r="K330" i="6" l="1"/>
  <c r="L330" i="6" s="1"/>
  <c r="N330" i="6" s="1"/>
  <c r="K1285" i="6"/>
  <c r="L1285" i="6" s="1"/>
  <c r="N1285" i="6" s="1"/>
  <c r="L1286" i="6"/>
  <c r="N1286" i="6" s="1"/>
  <c r="L111" i="5"/>
  <c r="M111" i="5" s="1"/>
  <c r="O111" i="5" s="1"/>
  <c r="M112" i="5"/>
  <c r="O112" i="5" s="1"/>
  <c r="A112" i="5"/>
  <c r="A110" i="5"/>
  <c r="A111" i="5"/>
  <c r="K329" i="6" l="1"/>
  <c r="L329" i="6" s="1"/>
  <c r="N329" i="6" s="1"/>
  <c r="K1284" i="6"/>
  <c r="L1284" i="6" s="1"/>
  <c r="N1284" i="6" s="1"/>
  <c r="L110" i="5"/>
  <c r="M110" i="5" s="1"/>
  <c r="O110" i="5" s="1"/>
  <c r="K869" i="6"/>
  <c r="L869" i="6" s="1"/>
  <c r="N869" i="6" s="1"/>
  <c r="M569" i="5"/>
  <c r="O569" i="5" s="1"/>
  <c r="L568" i="5"/>
  <c r="L567" i="5" s="1"/>
  <c r="M567" i="5" s="1"/>
  <c r="O567" i="5" s="1"/>
  <c r="A868" i="6"/>
  <c r="A569" i="5"/>
  <c r="A866" i="6"/>
  <c r="A865" i="6"/>
  <c r="A567" i="5"/>
  <c r="A869" i="6"/>
  <c r="A568" i="5"/>
  <c r="K328" i="6" l="1"/>
  <c r="L328" i="6" s="1"/>
  <c r="N328" i="6" s="1"/>
  <c r="K1283" i="6"/>
  <c r="L1283" i="6" s="1"/>
  <c r="N1283" i="6" s="1"/>
  <c r="K868" i="6"/>
  <c r="L868" i="6" s="1"/>
  <c r="N868" i="6" s="1"/>
  <c r="M568" i="5"/>
  <c r="O568" i="5" s="1"/>
  <c r="M242" i="5"/>
  <c r="O242" i="5" s="1"/>
  <c r="M241" i="5"/>
  <c r="O241" i="5" s="1"/>
  <c r="M240" i="5"/>
  <c r="O240" i="5" s="1"/>
  <c r="K518" i="6"/>
  <c r="L518" i="6" s="1"/>
  <c r="N518" i="6" s="1"/>
  <c r="A517" i="6"/>
  <c r="A514" i="6"/>
  <c r="A241" i="5"/>
  <c r="A242" i="5"/>
  <c r="A518" i="6"/>
  <c r="A240" i="5"/>
  <c r="A515" i="6"/>
  <c r="A519" i="6"/>
  <c r="K1282" i="6" l="1"/>
  <c r="L1282" i="6" s="1"/>
  <c r="N1282" i="6" s="1"/>
  <c r="K867" i="6"/>
  <c r="L867" i="6" s="1"/>
  <c r="N867" i="6" s="1"/>
  <c r="K517" i="6"/>
  <c r="K1225" i="6"/>
  <c r="A1224" i="6"/>
  <c r="A1225" i="6"/>
  <c r="K1224" i="6" l="1"/>
  <c r="L1224" i="6" s="1"/>
  <c r="N1224" i="6" s="1"/>
  <c r="L1225" i="6"/>
  <c r="N1225" i="6" s="1"/>
  <c r="K516" i="6"/>
  <c r="L517" i="6"/>
  <c r="N517" i="6" s="1"/>
  <c r="K866" i="6"/>
  <c r="L866" i="6" s="1"/>
  <c r="N866" i="6" s="1"/>
  <c r="M365" i="5"/>
  <c r="O365" i="5" s="1"/>
  <c r="L364" i="5"/>
  <c r="M364" i="5" s="1"/>
  <c r="O364" i="5" s="1"/>
  <c r="A365" i="5"/>
  <c r="A364" i="5"/>
  <c r="K515" i="6" l="1"/>
  <c r="L516" i="6"/>
  <c r="N516" i="6" s="1"/>
  <c r="K865" i="6"/>
  <c r="L865" i="6" s="1"/>
  <c r="N865" i="6" s="1"/>
  <c r="K1393" i="6"/>
  <c r="K1392" i="6" s="1"/>
  <c r="K1391" i="6" s="1"/>
  <c r="K1390" i="6" s="1"/>
  <c r="K1389" i="6" s="1"/>
  <c r="I1393" i="6"/>
  <c r="J1393" i="6" s="1"/>
  <c r="K1335" i="6"/>
  <c r="K1334" i="6" s="1"/>
  <c r="K1333" i="6" s="1"/>
  <c r="K1332" i="6" s="1"/>
  <c r="K1331" i="6" s="1"/>
  <c r="I1335" i="6"/>
  <c r="J1335" i="6" s="1"/>
  <c r="K105" i="6"/>
  <c r="I105" i="6"/>
  <c r="J105" i="6" s="1"/>
  <c r="K93" i="6"/>
  <c r="I93" i="6"/>
  <c r="J93" i="6" s="1"/>
  <c r="K1459" i="6"/>
  <c r="K1458" i="6" s="1"/>
  <c r="K1457" i="6"/>
  <c r="K1456" i="6" s="1"/>
  <c r="K1452" i="6"/>
  <c r="K1451" i="6" s="1"/>
  <c r="K1450" i="6" s="1"/>
  <c r="K1449" i="6" s="1"/>
  <c r="K1448" i="6" s="1"/>
  <c r="K1446" i="6"/>
  <c r="K1445" i="6" s="1"/>
  <c r="K1444" i="6" s="1"/>
  <c r="K1443" i="6" s="1"/>
  <c r="K1442" i="6" s="1"/>
  <c r="K1441" i="6" s="1"/>
  <c r="K1440" i="6"/>
  <c r="K1439" i="6" s="1"/>
  <c r="K1438" i="6" s="1"/>
  <c r="K1437" i="6" s="1"/>
  <c r="K1436" i="6" s="1"/>
  <c r="K1435" i="6"/>
  <c r="K1434" i="6" s="1"/>
  <c r="K1433" i="6" s="1"/>
  <c r="K1432" i="6" s="1"/>
  <c r="K1431" i="6"/>
  <c r="K1430" i="6" s="1"/>
  <c r="K1429" i="6" s="1"/>
  <c r="K1428" i="6" s="1"/>
  <c r="K1425" i="6"/>
  <c r="K1424" i="6" s="1"/>
  <c r="K1423" i="6" s="1"/>
  <c r="K1422" i="6" s="1"/>
  <c r="K1421" i="6"/>
  <c r="K1420" i="6" s="1"/>
  <c r="K1419" i="6"/>
  <c r="K1418" i="6" s="1"/>
  <c r="K1413" i="6"/>
  <c r="K1412" i="6" s="1"/>
  <c r="K1411" i="6" s="1"/>
  <c r="K1410" i="6" s="1"/>
  <c r="K1409" i="6"/>
  <c r="K1408" i="6" s="1"/>
  <c r="K1407" i="6"/>
  <c r="K1406" i="6" s="1"/>
  <c r="K1405" i="6"/>
  <c r="K1404" i="6" s="1"/>
  <c r="K1388" i="6"/>
  <c r="K1387" i="6" s="1"/>
  <c r="K1386" i="6" s="1"/>
  <c r="K1385" i="6" s="1"/>
  <c r="K1384" i="6" s="1"/>
  <c r="K1383" i="6"/>
  <c r="K1382" i="6" s="1"/>
  <c r="K1381" i="6" s="1"/>
  <c r="K1380" i="6" s="1"/>
  <c r="K1379" i="6" s="1"/>
  <c r="K1378" i="6"/>
  <c r="K1377" i="6" s="1"/>
  <c r="K1376" i="6"/>
  <c r="K1375" i="6" s="1"/>
  <c r="K1371" i="6"/>
  <c r="K1370" i="6" s="1"/>
  <c r="K1369" i="6" s="1"/>
  <c r="K1368" i="6" s="1"/>
  <c r="K1367" i="6" s="1"/>
  <c r="K1366" i="6"/>
  <c r="K1365" i="6" s="1"/>
  <c r="K1364" i="6" s="1"/>
  <c r="K1363" i="6" s="1"/>
  <c r="K1362" i="6"/>
  <c r="K1361" i="6" s="1"/>
  <c r="K1360" i="6"/>
  <c r="K1359" i="6" s="1"/>
  <c r="K1357" i="6"/>
  <c r="K1356" i="6" s="1"/>
  <c r="K1355" i="6"/>
  <c r="K1354" i="6" s="1"/>
  <c r="K1349" i="6"/>
  <c r="K1348" i="6" s="1"/>
  <c r="K1347" i="6" s="1"/>
  <c r="K1346" i="6" s="1"/>
  <c r="K1345" i="6" s="1"/>
  <c r="K1344" i="6" s="1"/>
  <c r="K1341" i="6"/>
  <c r="K1340" i="6" s="1"/>
  <c r="K1339" i="6" s="1"/>
  <c r="K1338" i="6" s="1"/>
  <c r="K1337" i="6" s="1"/>
  <c r="K1336" i="6" s="1"/>
  <c r="K1330" i="6"/>
  <c r="K1329" i="6" s="1"/>
  <c r="K1328" i="6" s="1"/>
  <c r="K1327" i="6" s="1"/>
  <c r="K1326" i="6" s="1"/>
  <c r="K1323" i="6"/>
  <c r="K1322" i="6" s="1"/>
  <c r="K1321" i="6" s="1"/>
  <c r="K1320" i="6" s="1"/>
  <c r="K1319" i="6" s="1"/>
  <c r="K1318" i="6"/>
  <c r="K1317" i="6" s="1"/>
  <c r="K1316" i="6" s="1"/>
  <c r="K1315" i="6" s="1"/>
  <c r="K1314" i="6"/>
  <c r="K1313" i="6" s="1"/>
  <c r="K1312" i="6" s="1"/>
  <c r="K1311" i="6" s="1"/>
  <c r="K1310" i="6"/>
  <c r="K1309" i="6" s="1"/>
  <c r="K1308" i="6" s="1"/>
  <c r="K1307" i="6" s="1"/>
  <c r="K1306" i="6"/>
  <c r="K1305" i="6" s="1"/>
  <c r="K1304" i="6"/>
  <c r="K1303" i="6" s="1"/>
  <c r="K1302" i="6"/>
  <c r="K1301" i="6" s="1"/>
  <c r="K1298" i="6"/>
  <c r="K1297" i="6" s="1"/>
  <c r="K1296" i="6" s="1"/>
  <c r="K1295" i="6" s="1"/>
  <c r="K1293" i="6"/>
  <c r="K1292" i="6" s="1"/>
  <c r="K1291" i="6" s="1"/>
  <c r="K1290" i="6" s="1"/>
  <c r="K1289" i="6" s="1"/>
  <c r="K1281" i="6"/>
  <c r="K1280" i="6" s="1"/>
  <c r="K1279" i="6" s="1"/>
  <c r="K1278" i="6" s="1"/>
  <c r="K1277" i="6" s="1"/>
  <c r="K1276" i="6"/>
  <c r="K1275" i="6" s="1"/>
  <c r="K1274" i="6"/>
  <c r="K1273" i="6" s="1"/>
  <c r="K1272" i="6"/>
  <c r="K1271" i="6" s="1"/>
  <c r="K1268" i="6"/>
  <c r="K1267" i="6" s="1"/>
  <c r="K1266" i="6" s="1"/>
  <c r="K1265" i="6" s="1"/>
  <c r="K1263" i="6"/>
  <c r="K1262" i="6" s="1"/>
  <c r="K1261" i="6" s="1"/>
  <c r="K1260" i="6" s="1"/>
  <c r="K1259" i="6" s="1"/>
  <c r="K1258" i="6"/>
  <c r="K1257" i="6" s="1"/>
  <c r="K1256" i="6" s="1"/>
  <c r="K1255" i="6" s="1"/>
  <c r="K1254" i="6" s="1"/>
  <c r="K1252" i="6"/>
  <c r="K1251" i="6" s="1"/>
  <c r="K1250" i="6" s="1"/>
  <c r="K1249" i="6" s="1"/>
  <c r="K1248" i="6" s="1"/>
  <c r="K1247" i="6"/>
  <c r="K1246" i="6" s="1"/>
  <c r="K1245" i="6" s="1"/>
  <c r="K1244" i="6" s="1"/>
  <c r="K1243" i="6"/>
  <c r="K1242" i="6" s="1"/>
  <c r="K1241" i="6" s="1"/>
  <c r="K1240" i="6" s="1"/>
  <c r="K1237" i="6"/>
  <c r="K1236" i="6" s="1"/>
  <c r="K1235" i="6" s="1"/>
  <c r="K1234" i="6" s="1"/>
  <c r="K1233" i="6" s="1"/>
  <c r="K1231" i="6"/>
  <c r="K1230" i="6" s="1"/>
  <c r="K1229" i="6" s="1"/>
  <c r="K1228" i="6" s="1"/>
  <c r="K1227" i="6" s="1"/>
  <c r="K1226" i="6" s="1"/>
  <c r="K1223" i="6"/>
  <c r="K1222" i="6" s="1"/>
  <c r="K1219" i="6"/>
  <c r="K1218" i="6" s="1"/>
  <c r="K1217" i="6" s="1"/>
  <c r="K1216" i="6" s="1"/>
  <c r="K1214" i="6"/>
  <c r="K1213" i="6" s="1"/>
  <c r="K1212" i="6" s="1"/>
  <c r="K1211" i="6" s="1"/>
  <c r="K1210" i="6"/>
  <c r="K1209" i="6" s="1"/>
  <c r="K1208" i="6" s="1"/>
  <c r="K1207" i="6" s="1"/>
  <c r="K1204" i="6"/>
  <c r="K1203" i="6" s="1"/>
  <c r="K1202" i="6" s="1"/>
  <c r="K1201" i="6" s="1"/>
  <c r="K1200" i="6"/>
  <c r="K1199" i="6" s="1"/>
  <c r="K1198" i="6"/>
  <c r="K1197" i="6" s="1"/>
  <c r="K1196" i="6"/>
  <c r="K1195" i="6" s="1"/>
  <c r="K1191" i="6"/>
  <c r="K1190" i="6" s="1"/>
  <c r="K1189" i="6" s="1"/>
  <c r="K1188" i="6" s="1"/>
  <c r="K1187" i="6" s="1"/>
  <c r="K1184" i="6"/>
  <c r="K1183" i="6" s="1"/>
  <c r="K1182" i="6" s="1"/>
  <c r="K1181" i="6" s="1"/>
  <c r="K1180" i="6" s="1"/>
  <c r="K1179" i="6"/>
  <c r="K1178" i="6" s="1"/>
  <c r="K1177" i="6" s="1"/>
  <c r="K1176" i="6" s="1"/>
  <c r="K1175" i="6" s="1"/>
  <c r="K1173" i="6"/>
  <c r="K1172" i="6" s="1"/>
  <c r="K1171" i="6" s="1"/>
  <c r="K1170" i="6" s="1"/>
  <c r="K1169" i="6" s="1"/>
  <c r="K1167" i="6"/>
  <c r="K1166" i="6" s="1"/>
  <c r="K1165" i="6" s="1"/>
  <c r="K1164" i="6" s="1"/>
  <c r="K1163" i="6"/>
  <c r="K1162" i="6" s="1"/>
  <c r="K1161" i="6"/>
  <c r="K1160" i="6" s="1"/>
  <c r="K1156" i="6"/>
  <c r="K1155" i="6" s="1"/>
  <c r="K1154" i="6" s="1"/>
  <c r="K1153" i="6" s="1"/>
  <c r="K1152" i="6" s="1"/>
  <c r="K1150" i="6"/>
  <c r="K1149" i="6" s="1"/>
  <c r="K1148" i="6" s="1"/>
  <c r="K1147" i="6" s="1"/>
  <c r="K1146" i="6" s="1"/>
  <c r="K1145" i="6"/>
  <c r="K1144" i="6" s="1"/>
  <c r="K1143" i="6" s="1"/>
  <c r="K1142" i="6"/>
  <c r="K1141" i="6" s="1"/>
  <c r="K1140" i="6" s="1"/>
  <c r="K1138" i="6"/>
  <c r="K1137" i="6" s="1"/>
  <c r="K1136" i="6" s="1"/>
  <c r="K1135" i="6" s="1"/>
  <c r="K1133" i="6"/>
  <c r="K1132" i="6" s="1"/>
  <c r="K1131" i="6" s="1"/>
  <c r="K1130" i="6" s="1"/>
  <c r="K1129" i="6"/>
  <c r="K1128" i="6" s="1"/>
  <c r="K1127" i="6" s="1"/>
  <c r="K1126" i="6" s="1"/>
  <c r="K1124" i="6"/>
  <c r="K1123" i="6" s="1"/>
  <c r="K1122" i="6" s="1"/>
  <c r="K1121" i="6"/>
  <c r="K1120" i="6" s="1"/>
  <c r="K1119" i="6" s="1"/>
  <c r="K1116" i="6"/>
  <c r="K1115" i="6" s="1"/>
  <c r="K1114" i="6" s="1"/>
  <c r="K1113" i="6" s="1"/>
  <c r="K1112" i="6"/>
  <c r="K1111" i="6" s="1"/>
  <c r="K1110" i="6" s="1"/>
  <c r="K1109" i="6" s="1"/>
  <c r="K1107" i="6"/>
  <c r="K1106" i="6" s="1"/>
  <c r="K1105" i="6" s="1"/>
  <c r="K1104" i="6" s="1"/>
  <c r="K1103" i="6"/>
  <c r="K1102" i="6" s="1"/>
  <c r="K1101" i="6" s="1"/>
  <c r="K1100" i="6"/>
  <c r="K1099" i="6" s="1"/>
  <c r="K1098" i="6" s="1"/>
  <c r="K1097" i="6"/>
  <c r="K1096" i="6"/>
  <c r="K1092" i="6"/>
  <c r="K1091" i="6" s="1"/>
  <c r="K1090" i="6" s="1"/>
  <c r="K1089" i="6" s="1"/>
  <c r="K1086" i="6"/>
  <c r="K1085" i="6" s="1"/>
  <c r="K1084" i="6" s="1"/>
  <c r="K1083" i="6" s="1"/>
  <c r="K1082" i="6"/>
  <c r="K1081" i="6" s="1"/>
  <c r="K1080" i="6" s="1"/>
  <c r="K1079" i="6" s="1"/>
  <c r="K1077" i="6"/>
  <c r="K1076" i="6" s="1"/>
  <c r="K1075" i="6" s="1"/>
  <c r="K1074" i="6" s="1"/>
  <c r="K1073" i="6"/>
  <c r="K1072" i="6" s="1"/>
  <c r="K1071" i="6"/>
  <c r="K1070" i="6" s="1"/>
  <c r="K1069" i="6"/>
  <c r="K1068" i="6" s="1"/>
  <c r="K1063" i="6"/>
  <c r="K1062" i="6" s="1"/>
  <c r="K1061" i="6" s="1"/>
  <c r="K1060" i="6" s="1"/>
  <c r="K1059" i="6"/>
  <c r="K1058" i="6" s="1"/>
  <c r="K1057" i="6"/>
  <c r="K1056" i="6" s="1"/>
  <c r="K1055" i="6"/>
  <c r="K1054" i="6" s="1"/>
  <c r="K1040" i="6"/>
  <c r="K1039" i="6" s="1"/>
  <c r="K1038" i="6" s="1"/>
  <c r="K1037" i="6" s="1"/>
  <c r="K1036" i="6" s="1"/>
  <c r="K1035" i="6"/>
  <c r="K1034" i="6" s="1"/>
  <c r="K1033" i="6" s="1"/>
  <c r="K1032" i="6" s="1"/>
  <c r="K1031" i="6" s="1"/>
  <c r="K1030" i="6"/>
  <c r="K1029" i="6" s="1"/>
  <c r="K1028" i="6" s="1"/>
  <c r="K1027" i="6" s="1"/>
  <c r="K1026" i="6"/>
  <c r="K1025" i="6" s="1"/>
  <c r="K1024" i="6" s="1"/>
  <c r="K1023" i="6"/>
  <c r="K1019" i="6"/>
  <c r="K1018" i="6" s="1"/>
  <c r="K1017" i="6" s="1"/>
  <c r="K1016" i="6" s="1"/>
  <c r="K1015" i="6"/>
  <c r="K1014" i="6" s="1"/>
  <c r="K1013" i="6" s="1"/>
  <c r="K1012" i="6"/>
  <c r="K1011" i="6" s="1"/>
  <c r="K1010" i="6" s="1"/>
  <c r="K1008" i="6"/>
  <c r="K992" i="6"/>
  <c r="K991" i="6" s="1"/>
  <c r="K990" i="6" s="1"/>
  <c r="K989" i="6" s="1"/>
  <c r="K988" i="6" s="1"/>
  <c r="K987" i="6"/>
  <c r="K986" i="6" s="1"/>
  <c r="K985" i="6" s="1"/>
  <c r="K984" i="6" s="1"/>
  <c r="K983" i="6" s="1"/>
  <c r="K981" i="6"/>
  <c r="K980" i="6" s="1"/>
  <c r="K979" i="6" s="1"/>
  <c r="K978" i="6" s="1"/>
  <c r="K977" i="6" s="1"/>
  <c r="K976" i="6"/>
  <c r="K975" i="6" s="1"/>
  <c r="K974" i="6" s="1"/>
  <c r="K973" i="6" s="1"/>
  <c r="K972" i="6" s="1"/>
  <c r="K971" i="6"/>
  <c r="K970" i="6" s="1"/>
  <c r="K969" i="6" s="1"/>
  <c r="K968" i="6" s="1"/>
  <c r="K967" i="6" s="1"/>
  <c r="K966" i="6"/>
  <c r="K965" i="6" s="1"/>
  <c r="K964" i="6" s="1"/>
  <c r="K963" i="6" s="1"/>
  <c r="K962" i="6" s="1"/>
  <c r="K956" i="6"/>
  <c r="K955" i="6" s="1"/>
  <c r="K954" i="6" s="1"/>
  <c r="K953" i="6" s="1"/>
  <c r="K952" i="6" s="1"/>
  <c r="K951" i="6"/>
  <c r="K950" i="6" s="1"/>
  <c r="K949" i="6" s="1"/>
  <c r="K948" i="6" s="1"/>
  <c r="K947" i="6" s="1"/>
  <c r="K946" i="6"/>
  <c r="K945" i="6" s="1"/>
  <c r="K944" i="6" s="1"/>
  <c r="K943" i="6" s="1"/>
  <c r="K942" i="6" s="1"/>
  <c r="K941" i="6"/>
  <c r="K940" i="6" s="1"/>
  <c r="K939" i="6" s="1"/>
  <c r="K938" i="6" s="1"/>
  <c r="K937" i="6" s="1"/>
  <c r="K936" i="6"/>
  <c r="K935" i="6" s="1"/>
  <c r="K934" i="6" s="1"/>
  <c r="K933" i="6"/>
  <c r="K932" i="6" s="1"/>
  <c r="K931" i="6" s="1"/>
  <c r="K929" i="6"/>
  <c r="K928" i="6" s="1"/>
  <c r="K927" i="6" s="1"/>
  <c r="K926" i="6"/>
  <c r="K925" i="6" s="1"/>
  <c r="K924" i="6" s="1"/>
  <c r="K922" i="6"/>
  <c r="K921" i="6" s="1"/>
  <c r="K920" i="6" s="1"/>
  <c r="K919" i="6" s="1"/>
  <c r="K918" i="6"/>
  <c r="K917" i="6" s="1"/>
  <c r="K916" i="6" s="1"/>
  <c r="K915" i="6" s="1"/>
  <c r="K911" i="6"/>
  <c r="K910" i="6" s="1"/>
  <c r="K909" i="6"/>
  <c r="K908" i="6" s="1"/>
  <c r="K903" i="6"/>
  <c r="K902" i="6" s="1"/>
  <c r="K901" i="6" s="1"/>
  <c r="K900" i="6" s="1"/>
  <c r="K899" i="6" s="1"/>
  <c r="K898" i="6"/>
  <c r="K897" i="6"/>
  <c r="K895" i="6"/>
  <c r="K894" i="6" s="1"/>
  <c r="K890" i="6"/>
  <c r="K889" i="6" s="1"/>
  <c r="K888" i="6" s="1"/>
  <c r="K887" i="6" s="1"/>
  <c r="K886" i="6"/>
  <c r="K885" i="6" s="1"/>
  <c r="K884" i="6" s="1"/>
  <c r="K883" i="6" s="1"/>
  <c r="K882" i="6"/>
  <c r="K881" i="6" s="1"/>
  <c r="K880" i="6" s="1"/>
  <c r="K879" i="6"/>
  <c r="K878" i="6" s="1"/>
  <c r="K877" i="6" s="1"/>
  <c r="K875" i="6"/>
  <c r="K874" i="6" s="1"/>
  <c r="K873" i="6" s="1"/>
  <c r="K872" i="6" s="1"/>
  <c r="K864" i="6"/>
  <c r="K863" i="6" s="1"/>
  <c r="K862" i="6" s="1"/>
  <c r="K861" i="6" s="1"/>
  <c r="K860" i="6" s="1"/>
  <c r="K859" i="6"/>
  <c r="K858" i="6" s="1"/>
  <c r="K857" i="6" s="1"/>
  <c r="K856" i="6" s="1"/>
  <c r="K855" i="6" s="1"/>
  <c r="K854" i="6"/>
  <c r="K853" i="6" s="1"/>
  <c r="K852" i="6" s="1"/>
  <c r="K851" i="6" s="1"/>
  <c r="K850" i="6" s="1"/>
  <c r="K849" i="6"/>
  <c r="K848" i="6" s="1"/>
  <c r="K847" i="6" s="1"/>
  <c r="K846" i="6" s="1"/>
  <c r="K845" i="6" s="1"/>
  <c r="K843" i="6"/>
  <c r="K842" i="6" s="1"/>
  <c r="K841" i="6" s="1"/>
  <c r="K840" i="6" s="1"/>
  <c r="K839" i="6" s="1"/>
  <c r="K838" i="6" s="1"/>
  <c r="K837" i="6"/>
  <c r="K836" i="6" s="1"/>
  <c r="K835" i="6" s="1"/>
  <c r="K834" i="6" s="1"/>
  <c r="K833" i="6" s="1"/>
  <c r="K832" i="6"/>
  <c r="K831" i="6" s="1"/>
  <c r="K830" i="6" s="1"/>
  <c r="K829" i="6" s="1"/>
  <c r="K828" i="6" s="1"/>
  <c r="K827" i="6" s="1"/>
  <c r="K826" i="6"/>
  <c r="K825" i="6" s="1"/>
  <c r="K824" i="6" s="1"/>
  <c r="K823" i="6" s="1"/>
  <c r="K822" i="6" s="1"/>
  <c r="K821" i="6" s="1"/>
  <c r="K820" i="6"/>
  <c r="K819" i="6" s="1"/>
  <c r="K818" i="6" s="1"/>
  <c r="K817" i="6" s="1"/>
  <c r="K816" i="6"/>
  <c r="K815" i="6" s="1"/>
  <c r="K814" i="6" s="1"/>
  <c r="K813" i="6" s="1"/>
  <c r="K811" i="6"/>
  <c r="K810" i="6" s="1"/>
  <c r="K809" i="6" s="1"/>
  <c r="K808" i="6" s="1"/>
  <c r="K807" i="6" s="1"/>
  <c r="K806" i="6"/>
  <c r="K805" i="6" s="1"/>
  <c r="K804" i="6" s="1"/>
  <c r="K803" i="6" s="1"/>
  <c r="K802" i="6" s="1"/>
  <c r="K801" i="6"/>
  <c r="K800" i="6"/>
  <c r="K798" i="6"/>
  <c r="K797" i="6" s="1"/>
  <c r="K796" i="6"/>
  <c r="K795" i="6" s="1"/>
  <c r="K790" i="6"/>
  <c r="K789" i="6" s="1"/>
  <c r="K788" i="6"/>
  <c r="K787" i="6" s="1"/>
  <c r="K782" i="6"/>
  <c r="K781" i="6" s="1"/>
  <c r="K780" i="6"/>
  <c r="K779" i="6" s="1"/>
  <c r="K773" i="6"/>
  <c r="K772" i="6" s="1"/>
  <c r="K771" i="6"/>
  <c r="K770" i="6" s="1"/>
  <c r="K765" i="6"/>
  <c r="K764" i="6" s="1"/>
  <c r="K763" i="6" s="1"/>
  <c r="K762" i="6" s="1"/>
  <c r="K761" i="6" s="1"/>
  <c r="K759" i="6"/>
  <c r="K758" i="6" s="1"/>
  <c r="K757" i="6" s="1"/>
  <c r="K756" i="6" s="1"/>
  <c r="K755" i="6" s="1"/>
  <c r="K754" i="6" s="1"/>
  <c r="K753" i="6"/>
  <c r="K752" i="6" s="1"/>
  <c r="K751" i="6" s="1"/>
  <c r="K750" i="6" s="1"/>
  <c r="K749" i="6" s="1"/>
  <c r="K746" i="6"/>
  <c r="K745" i="6" s="1"/>
  <c r="K744" i="6" s="1"/>
  <c r="K743" i="6" s="1"/>
  <c r="K742" i="6" s="1"/>
  <c r="K741" i="6" s="1"/>
  <c r="K730" i="6"/>
  <c r="K729" i="6" s="1"/>
  <c r="K728" i="6" s="1"/>
  <c r="K727" i="6" s="1"/>
  <c r="K726" i="6" s="1"/>
  <c r="K725" i="6"/>
  <c r="K724" i="6" s="1"/>
  <c r="K723" i="6" s="1"/>
  <c r="K722" i="6" s="1"/>
  <c r="K721" i="6" s="1"/>
  <c r="K718" i="6"/>
  <c r="K717" i="6" s="1"/>
  <c r="K716" i="6" s="1"/>
  <c r="K715" i="6" s="1"/>
  <c r="K714" i="6" s="1"/>
  <c r="K713" i="6"/>
  <c r="K712" i="6" s="1"/>
  <c r="K711" i="6" s="1"/>
  <c r="K710" i="6" s="1"/>
  <c r="K709" i="6" s="1"/>
  <c r="K708" i="6"/>
  <c r="K707" i="6" s="1"/>
  <c r="K706" i="6" s="1"/>
  <c r="K705" i="6" s="1"/>
  <c r="K704" i="6" s="1"/>
  <c r="K701" i="6"/>
  <c r="K700" i="6" s="1"/>
  <c r="K699" i="6" s="1"/>
  <c r="K698" i="6" s="1"/>
  <c r="K697" i="6" s="1"/>
  <c r="K696" i="6"/>
  <c r="K695" i="6" s="1"/>
  <c r="K694" i="6"/>
  <c r="K693" i="6" s="1"/>
  <c r="K692" i="6"/>
  <c r="K691" i="6" s="1"/>
  <c r="K686" i="6"/>
  <c r="K685" i="6" s="1"/>
  <c r="K684" i="6" s="1"/>
  <c r="K683" i="6" s="1"/>
  <c r="K682" i="6" s="1"/>
  <c r="K681" i="6"/>
  <c r="K680" i="6" s="1"/>
  <c r="K679" i="6"/>
  <c r="K678" i="6" s="1"/>
  <c r="K674" i="6"/>
  <c r="K673" i="6" s="1"/>
  <c r="K672" i="6" s="1"/>
  <c r="K671" i="6" s="1"/>
  <c r="K670" i="6" s="1"/>
  <c r="K669" i="6" s="1"/>
  <c r="K668" i="6" s="1"/>
  <c r="K667" i="6"/>
  <c r="K666" i="6" s="1"/>
  <c r="K665" i="6" s="1"/>
  <c r="K664" i="6" s="1"/>
  <c r="K663" i="6" s="1"/>
  <c r="K662" i="6" s="1"/>
  <c r="K661" i="6" s="1"/>
  <c r="K660" i="6"/>
  <c r="K659" i="6" s="1"/>
  <c r="K658" i="6" s="1"/>
  <c r="K657" i="6" s="1"/>
  <c r="K656" i="6" s="1"/>
  <c r="K655" i="6" s="1"/>
  <c r="K654" i="6" s="1"/>
  <c r="K653" i="6"/>
  <c r="K652" i="6" s="1"/>
  <c r="K651" i="6" s="1"/>
  <c r="K650" i="6" s="1"/>
  <c r="K649" i="6" s="1"/>
  <c r="K648" i="6" s="1"/>
  <c r="K647" i="6" s="1"/>
  <c r="K646" i="6"/>
  <c r="K645" i="6" s="1"/>
  <c r="K644" i="6"/>
  <c r="K643" i="6" s="1"/>
  <c r="K639" i="6"/>
  <c r="K638" i="6" s="1"/>
  <c r="K637" i="6"/>
  <c r="K636" i="6" s="1"/>
  <c r="K631" i="6"/>
  <c r="K630" i="6" s="1"/>
  <c r="K629" i="6" s="1"/>
  <c r="K628" i="6" s="1"/>
  <c r="K627" i="6" s="1"/>
  <c r="K602" i="6"/>
  <c r="K601" i="6" s="1"/>
  <c r="K600" i="6" s="1"/>
  <c r="K599" i="6" s="1"/>
  <c r="K598" i="6" s="1"/>
  <c r="K597" i="6"/>
  <c r="K596" i="6" s="1"/>
  <c r="K595" i="6" s="1"/>
  <c r="K594" i="6" s="1"/>
  <c r="K593" i="6" s="1"/>
  <c r="K591" i="6"/>
  <c r="K590" i="6" s="1"/>
  <c r="K589" i="6" s="1"/>
  <c r="K588" i="6" s="1"/>
  <c r="K587" i="6"/>
  <c r="K586" i="6" s="1"/>
  <c r="K585" i="6" s="1"/>
  <c r="K584" i="6" s="1"/>
  <c r="K581" i="6"/>
  <c r="K580" i="6" s="1"/>
  <c r="K579" i="6" s="1"/>
  <c r="K578" i="6" s="1"/>
  <c r="K577" i="6" s="1"/>
  <c r="K576" i="6"/>
  <c r="K575" i="6"/>
  <c r="K569" i="6"/>
  <c r="K568" i="6" s="1"/>
  <c r="K567" i="6"/>
  <c r="K566" i="6" s="1"/>
  <c r="K565" i="6"/>
  <c r="K564" i="6" s="1"/>
  <c r="K562" i="6"/>
  <c r="K561" i="6" s="1"/>
  <c r="K560" i="6" s="1"/>
  <c r="K557" i="6"/>
  <c r="K556" i="6" s="1"/>
  <c r="K555" i="6" s="1"/>
  <c r="K554" i="6" s="1"/>
  <c r="K553" i="6" s="1"/>
  <c r="K552" i="6"/>
  <c r="K551" i="6" s="1"/>
  <c r="K550" i="6"/>
  <c r="K549" i="6" s="1"/>
  <c r="K544" i="6"/>
  <c r="K543" i="6" s="1"/>
  <c r="K542" i="6" s="1"/>
  <c r="K541" i="6" s="1"/>
  <c r="K540" i="6" s="1"/>
  <c r="K539" i="6"/>
  <c r="K538" i="6" s="1"/>
  <c r="K537" i="6" s="1"/>
  <c r="K536" i="6" s="1"/>
  <c r="K535" i="6" s="1"/>
  <c r="K534" i="6"/>
  <c r="K533" i="6" s="1"/>
  <c r="K532" i="6" s="1"/>
  <c r="K531" i="6" s="1"/>
  <c r="K530" i="6" s="1"/>
  <c r="K528" i="6"/>
  <c r="K527" i="6" s="1"/>
  <c r="K526" i="6" s="1"/>
  <c r="K525" i="6" s="1"/>
  <c r="K524" i="6" s="1"/>
  <c r="K523" i="6"/>
  <c r="K522" i="6" s="1"/>
  <c r="K521" i="6" s="1"/>
  <c r="K520" i="6" s="1"/>
  <c r="K519" i="6" s="1"/>
  <c r="K513" i="6"/>
  <c r="K512" i="6" s="1"/>
  <c r="K511" i="6" s="1"/>
  <c r="K510" i="6" s="1"/>
  <c r="K509" i="6" s="1"/>
  <c r="K508" i="6"/>
  <c r="K507" i="6" s="1"/>
  <c r="K506" i="6" s="1"/>
  <c r="K505" i="6" s="1"/>
  <c r="K504" i="6" s="1"/>
  <c r="K502" i="6"/>
  <c r="K501" i="6" s="1"/>
  <c r="K500" i="6" s="1"/>
  <c r="K499" i="6" s="1"/>
  <c r="K498" i="6" s="1"/>
  <c r="K496" i="6"/>
  <c r="K495" i="6" s="1"/>
  <c r="K494" i="6" s="1"/>
  <c r="K493" i="6" s="1"/>
  <c r="K492" i="6" s="1"/>
  <c r="K491" i="6" s="1"/>
  <c r="K490" i="6"/>
  <c r="K489" i="6" s="1"/>
  <c r="K488" i="6"/>
  <c r="K487" i="6" s="1"/>
  <c r="K483" i="6"/>
  <c r="K482" i="6" s="1"/>
  <c r="K481" i="6"/>
  <c r="K480" i="6" s="1"/>
  <c r="K475" i="6"/>
  <c r="K474" i="6" s="1"/>
  <c r="K473" i="6" s="1"/>
  <c r="K472" i="6" s="1"/>
  <c r="K471" i="6" s="1"/>
  <c r="K470" i="6"/>
  <c r="K469" i="6" s="1"/>
  <c r="K468" i="6" s="1"/>
  <c r="K467" i="6"/>
  <c r="K466" i="6" s="1"/>
  <c r="K465" i="6" s="1"/>
  <c r="K464" i="6"/>
  <c r="K463" i="6" s="1"/>
  <c r="K462" i="6" s="1"/>
  <c r="K458" i="6"/>
  <c r="K457" i="6" s="1"/>
  <c r="K456" i="6"/>
  <c r="K455" i="6" s="1"/>
  <c r="K451" i="6"/>
  <c r="K450" i="6" s="1"/>
  <c r="K449" i="6" s="1"/>
  <c r="K448" i="6" s="1"/>
  <c r="K447" i="6"/>
  <c r="K446" i="6" s="1"/>
  <c r="K445" i="6"/>
  <c r="K444" i="6" s="1"/>
  <c r="K443" i="6"/>
  <c r="K442" i="6" s="1"/>
  <c r="K436" i="6"/>
  <c r="K435" i="6" s="1"/>
  <c r="K434" i="6" s="1"/>
  <c r="K433" i="6" s="1"/>
  <c r="K432" i="6" s="1"/>
  <c r="K431" i="6"/>
  <c r="K430" i="6" s="1"/>
  <c r="K429" i="6"/>
  <c r="K428" i="6" s="1"/>
  <c r="K423" i="6"/>
  <c r="K422" i="6"/>
  <c r="K417" i="6"/>
  <c r="K416" i="6" s="1"/>
  <c r="K415" i="6"/>
  <c r="K414" i="6" s="1"/>
  <c r="K410" i="6"/>
  <c r="K409" i="6"/>
  <c r="K406" i="6"/>
  <c r="K405" i="6"/>
  <c r="K400" i="6"/>
  <c r="K399" i="6" s="1"/>
  <c r="K398" i="6" s="1"/>
  <c r="K397" i="6"/>
  <c r="K396" i="6"/>
  <c r="K391" i="6"/>
  <c r="K390" i="6" s="1"/>
  <c r="K389" i="6" s="1"/>
  <c r="K388" i="6" s="1"/>
  <c r="K387" i="6" s="1"/>
  <c r="K385" i="6"/>
  <c r="K384" i="6" s="1"/>
  <c r="K383" i="6" s="1"/>
  <c r="K382" i="6" s="1"/>
  <c r="K381" i="6" s="1"/>
  <c r="K380" i="6"/>
  <c r="K379" i="6" s="1"/>
  <c r="K378" i="6" s="1"/>
  <c r="K377" i="6" s="1"/>
  <c r="K376" i="6" s="1"/>
  <c r="K374" i="6"/>
  <c r="K373" i="6" s="1"/>
  <c r="K372" i="6" s="1"/>
  <c r="K371" i="6" s="1"/>
  <c r="K370" i="6" s="1"/>
  <c r="K369" i="6"/>
  <c r="K368" i="6" s="1"/>
  <c r="K367" i="6" s="1"/>
  <c r="K366" i="6" s="1"/>
  <c r="K365" i="6"/>
  <c r="K364" i="6" s="1"/>
  <c r="K363" i="6" s="1"/>
  <c r="K362" i="6" s="1"/>
  <c r="K360" i="6"/>
  <c r="K359" i="6" s="1"/>
  <c r="K358" i="6" s="1"/>
  <c r="K357" i="6" s="1"/>
  <c r="K356" i="6" s="1"/>
  <c r="K354" i="6"/>
  <c r="K353" i="6" s="1"/>
  <c r="K352" i="6" s="1"/>
  <c r="K351" i="6" s="1"/>
  <c r="K350" i="6" s="1"/>
  <c r="K349" i="6"/>
  <c r="K348" i="6" s="1"/>
  <c r="K347" i="6" s="1"/>
  <c r="K346" i="6" s="1"/>
  <c r="K345" i="6" s="1"/>
  <c r="K344" i="6"/>
  <c r="K343" i="6" s="1"/>
  <c r="K342" i="6" s="1"/>
  <c r="K341" i="6" s="1"/>
  <c r="K340" i="6" s="1"/>
  <c r="K339" i="6"/>
  <c r="K338" i="6"/>
  <c r="K327" i="6"/>
  <c r="K326" i="6" s="1"/>
  <c r="K325" i="6" s="1"/>
  <c r="K324" i="6" s="1"/>
  <c r="K323" i="6" s="1"/>
  <c r="K322" i="6"/>
  <c r="K321" i="6" s="1"/>
  <c r="K320" i="6" s="1"/>
  <c r="K319" i="6" s="1"/>
  <c r="K318" i="6" s="1"/>
  <c r="K317" i="6"/>
  <c r="K316" i="6" s="1"/>
  <c r="K315" i="6" s="1"/>
  <c r="K314" i="6" s="1"/>
  <c r="K313" i="6" s="1"/>
  <c r="K302" i="6"/>
  <c r="K301" i="6" s="1"/>
  <c r="K300" i="6" s="1"/>
  <c r="K299" i="6" s="1"/>
  <c r="K298" i="6" s="1"/>
  <c r="K297" i="6"/>
  <c r="K296" i="6" s="1"/>
  <c r="K295" i="6" s="1"/>
  <c r="K294" i="6" s="1"/>
  <c r="K293" i="6" s="1"/>
  <c r="K292" i="6"/>
  <c r="K291" i="6" s="1"/>
  <c r="K290" i="6" s="1"/>
  <c r="K289" i="6" s="1"/>
  <c r="K288" i="6" s="1"/>
  <c r="K287" i="6"/>
  <c r="K286" i="6" s="1"/>
  <c r="K285" i="6" s="1"/>
  <c r="K284" i="6" s="1"/>
  <c r="K283" i="6" s="1"/>
  <c r="K281" i="6"/>
  <c r="K280" i="6" s="1"/>
  <c r="K279" i="6"/>
  <c r="K278" i="6" s="1"/>
  <c r="K277" i="6"/>
  <c r="K276" i="6" s="1"/>
  <c r="K272" i="6"/>
  <c r="K271" i="6" s="1"/>
  <c r="K270" i="6"/>
  <c r="K269" i="6" s="1"/>
  <c r="K242" i="6"/>
  <c r="K237" i="6"/>
  <c r="K236" i="6" s="1"/>
  <c r="K235" i="6" s="1"/>
  <c r="K234" i="6"/>
  <c r="K233" i="6" s="1"/>
  <c r="K232" i="6" s="1"/>
  <c r="K229" i="6"/>
  <c r="K228" i="6" s="1"/>
  <c r="K227" i="6" s="1"/>
  <c r="K226" i="6"/>
  <c r="K225" i="6" s="1"/>
  <c r="K224" i="6" s="1"/>
  <c r="K223" i="6"/>
  <c r="K222" i="6"/>
  <c r="K216" i="6"/>
  <c r="K215" i="6" s="1"/>
  <c r="K214" i="6" s="1"/>
  <c r="K213" i="6" s="1"/>
  <c r="K212" i="6" s="1"/>
  <c r="K211" i="6" s="1"/>
  <c r="K210" i="6" s="1"/>
  <c r="K209" i="6"/>
  <c r="K208" i="6" s="1"/>
  <c r="K207" i="6" s="1"/>
  <c r="K206" i="6" s="1"/>
  <c r="K205" i="6" s="1"/>
  <c r="K204" i="6"/>
  <c r="K203" i="6" s="1"/>
  <c r="K202" i="6" s="1"/>
  <c r="K201" i="6" s="1"/>
  <c r="K200" i="6" s="1"/>
  <c r="K199" i="6"/>
  <c r="K198" i="6" s="1"/>
  <c r="K197" i="6" s="1"/>
  <c r="K196" i="6" s="1"/>
  <c r="K195" i="6" s="1"/>
  <c r="K192" i="6"/>
  <c r="K191" i="6" s="1"/>
  <c r="K190" i="6" s="1"/>
  <c r="K189" i="6"/>
  <c r="K188" i="6" s="1"/>
  <c r="K187" i="6" s="1"/>
  <c r="K181" i="6"/>
  <c r="K180" i="6" s="1"/>
  <c r="K179" i="6" s="1"/>
  <c r="K178" i="6" s="1"/>
  <c r="K177" i="6" s="1"/>
  <c r="K176" i="6"/>
  <c r="K175" i="6" s="1"/>
  <c r="K174" i="6" s="1"/>
  <c r="K173" i="6" s="1"/>
  <c r="K172" i="6" s="1"/>
  <c r="K171" i="6"/>
  <c r="K170" i="6" s="1"/>
  <c r="K169" i="6" s="1"/>
  <c r="K168" i="6" s="1"/>
  <c r="K167" i="6" s="1"/>
  <c r="K166" i="6"/>
  <c r="K165" i="6" s="1"/>
  <c r="K164" i="6" s="1"/>
  <c r="K163" i="6" s="1"/>
  <c r="K162" i="6" s="1"/>
  <c r="K161" i="6"/>
  <c r="K160" i="6" s="1"/>
  <c r="K159" i="6" s="1"/>
  <c r="K158" i="6"/>
  <c r="K157" i="6"/>
  <c r="K151" i="6"/>
  <c r="K150" i="6"/>
  <c r="K145" i="6"/>
  <c r="K144" i="6" s="1"/>
  <c r="K143" i="6" s="1"/>
  <c r="K142" i="6" s="1"/>
  <c r="K141" i="6"/>
  <c r="K140" i="6"/>
  <c r="K137" i="6"/>
  <c r="K136" i="6"/>
  <c r="K130" i="6"/>
  <c r="K129" i="6"/>
  <c r="K124" i="6"/>
  <c r="K123" i="6"/>
  <c r="K117" i="6"/>
  <c r="K114" i="6"/>
  <c r="K113" i="6"/>
  <c r="K106" i="6"/>
  <c r="K100" i="6"/>
  <c r="K99" i="6"/>
  <c r="K94" i="6"/>
  <c r="K88" i="6"/>
  <c r="K87" i="6" s="1"/>
  <c r="K86" i="6" s="1"/>
  <c r="K85" i="6" s="1"/>
  <c r="K84" i="6" s="1"/>
  <c r="K82" i="6"/>
  <c r="K81" i="6" s="1"/>
  <c r="K80" i="6" s="1"/>
  <c r="K79" i="6" s="1"/>
  <c r="K78" i="6" s="1"/>
  <c r="K77" i="6" s="1"/>
  <c r="K76" i="6"/>
  <c r="K75" i="6"/>
  <c r="K72" i="6"/>
  <c r="K71" i="6"/>
  <c r="K63" i="6"/>
  <c r="K62" i="6"/>
  <c r="K55" i="6"/>
  <c r="K54" i="6" s="1"/>
  <c r="K53" i="6"/>
  <c r="K52" i="6" s="1"/>
  <c r="K47" i="6"/>
  <c r="K46" i="6" s="1"/>
  <c r="K45" i="6"/>
  <c r="K44" i="6" s="1"/>
  <c r="K43" i="6"/>
  <c r="K42" i="6" s="1"/>
  <c r="K38" i="6"/>
  <c r="K37" i="6"/>
  <c r="K32" i="6"/>
  <c r="K31" i="6" s="1"/>
  <c r="K30" i="6" s="1"/>
  <c r="K29" i="6"/>
  <c r="K28" i="6"/>
  <c r="K22" i="6"/>
  <c r="K21" i="6" s="1"/>
  <c r="K20" i="6" s="1"/>
  <c r="K19" i="6" s="1"/>
  <c r="K18" i="6" s="1"/>
  <c r="L1321" i="5"/>
  <c r="L1320" i="5" s="1"/>
  <c r="L1319" i="5" s="1"/>
  <c r="L1318" i="5" s="1"/>
  <c r="L1317" i="5" s="1"/>
  <c r="L1316" i="5" s="1"/>
  <c r="L1314" i="5"/>
  <c r="L1312" i="5"/>
  <c r="L1304" i="5"/>
  <c r="L1303" i="5" s="1"/>
  <c r="L1301" i="5"/>
  <c r="L1299" i="5"/>
  <c r="L1296" i="5"/>
  <c r="L1294" i="5"/>
  <c r="L1287" i="5"/>
  <c r="L1286" i="5" s="1"/>
  <c r="L1285" i="5" s="1"/>
  <c r="L1284" i="5" s="1"/>
  <c r="L1283" i="5" s="1"/>
  <c r="L1281" i="5"/>
  <c r="L1280" i="5" s="1"/>
  <c r="L1279" i="5" s="1"/>
  <c r="L1277" i="5"/>
  <c r="L1276" i="5" s="1"/>
  <c r="L1275" i="5" s="1"/>
  <c r="L1270" i="5"/>
  <c r="L1269" i="5" s="1"/>
  <c r="L1268" i="5" s="1"/>
  <c r="L1267" i="5" s="1"/>
  <c r="L1265" i="5"/>
  <c r="L1264" i="5" s="1"/>
  <c r="L1263" i="5" s="1"/>
  <c r="L1262" i="5" s="1"/>
  <c r="L1260" i="5"/>
  <c r="L1259" i="5" s="1"/>
  <c r="L1258" i="5" s="1"/>
  <c r="L1257" i="5" s="1"/>
  <c r="L1248" i="5"/>
  <c r="L1244" i="5"/>
  <c r="L1243" i="5" s="1"/>
  <c r="L1241" i="5"/>
  <c r="L1240" i="5" s="1"/>
  <c r="L1238" i="5"/>
  <c r="L1237" i="5" s="1"/>
  <c r="L1232" i="5"/>
  <c r="L1231" i="5" s="1"/>
  <c r="L1229" i="5"/>
  <c r="L1228" i="5" s="1"/>
  <c r="L1223" i="5"/>
  <c r="L1221" i="5" s="1"/>
  <c r="L1215" i="5"/>
  <c r="L1214" i="5" s="1"/>
  <c r="L1213" i="5" s="1"/>
  <c r="L1211" i="5"/>
  <c r="L1210" i="5" s="1"/>
  <c r="L1208" i="5"/>
  <c r="L1207" i="5" s="1"/>
  <c r="L1206" i="5" s="1"/>
  <c r="L1203" i="5"/>
  <c r="L1202" i="5" s="1"/>
  <c r="L1201" i="5" s="1"/>
  <c r="L1189" i="5"/>
  <c r="L1187" i="5"/>
  <c r="L1185" i="5"/>
  <c r="L1182" i="5"/>
  <c r="L1181" i="5" s="1"/>
  <c r="L1180" i="5" s="1"/>
  <c r="L1178" i="5"/>
  <c r="L1177" i="5" s="1"/>
  <c r="L1176" i="5" s="1"/>
  <c r="L1174" i="5"/>
  <c r="L1173" i="5" s="1"/>
  <c r="L1166" i="5"/>
  <c r="L1164" i="5"/>
  <c r="L1160" i="5"/>
  <c r="L1159" i="5" s="1"/>
  <c r="L1155" i="5"/>
  <c r="L1154" i="5" s="1"/>
  <c r="L1152" i="5"/>
  <c r="L1151" i="5" s="1"/>
  <c r="L1149" i="5"/>
  <c r="L1148" i="5" s="1"/>
  <c r="L1145" i="5"/>
  <c r="L1144" i="5" s="1"/>
  <c r="L1143" i="5" s="1"/>
  <c r="L1141" i="5"/>
  <c r="L1140" i="5" s="1"/>
  <c r="L1138" i="5"/>
  <c r="L1137" i="5" s="1"/>
  <c r="L1135" i="5"/>
  <c r="L1134" i="5" s="1"/>
  <c r="L1132" i="5"/>
  <c r="L1131" i="5" s="1"/>
  <c r="L1126" i="5"/>
  <c r="L1125" i="5" s="1"/>
  <c r="L1124" i="5" s="1"/>
  <c r="L1122" i="5"/>
  <c r="L1121" i="5" s="1"/>
  <c r="L1120" i="5" s="1"/>
  <c r="L1116" i="5"/>
  <c r="K1007" i="6" s="1"/>
  <c r="L1110" i="5"/>
  <c r="L1108" i="5"/>
  <c r="L1105" i="5"/>
  <c r="L1104" i="5" s="1"/>
  <c r="L1098" i="5"/>
  <c r="L1096" i="5"/>
  <c r="L1092" i="5"/>
  <c r="L1090" i="5"/>
  <c r="L1087" i="5"/>
  <c r="L1086" i="5" s="1"/>
  <c r="L1082" i="5"/>
  <c r="L1081" i="5" s="1"/>
  <c r="L1080" i="5" s="1"/>
  <c r="L1079" i="5" s="1"/>
  <c r="I60" i="1" s="1"/>
  <c r="L1077" i="5"/>
  <c r="L1076" i="5" s="1"/>
  <c r="L1073" i="5"/>
  <c r="L1072" i="5" s="1"/>
  <c r="L1069" i="5"/>
  <c r="L1068" i="5" s="1"/>
  <c r="L1062" i="5"/>
  <c r="L1061" i="5" s="1"/>
  <c r="L1060" i="5" s="1"/>
  <c r="L1059" i="5" s="1"/>
  <c r="L1056" i="5"/>
  <c r="L1055" i="5" s="1"/>
  <c r="L1054" i="5" s="1"/>
  <c r="L1053" i="5" s="1"/>
  <c r="L1049" i="5"/>
  <c r="L1047" i="5"/>
  <c r="L1045" i="5"/>
  <c r="L1042" i="5"/>
  <c r="L1040" i="5"/>
  <c r="L1034" i="5"/>
  <c r="L1033" i="5" s="1"/>
  <c r="L1032" i="5" s="1"/>
  <c r="L1031" i="5" s="1"/>
  <c r="L1029" i="5"/>
  <c r="L1028" i="5" s="1"/>
  <c r="L1026" i="5"/>
  <c r="L1025" i="5" s="1"/>
  <c r="L1021" i="5"/>
  <c r="L1020" i="5" s="1"/>
  <c r="L1018" i="5"/>
  <c r="L1017" i="5" s="1"/>
  <c r="L1015" i="5"/>
  <c r="L1014" i="5" s="1"/>
  <c r="L1010" i="5"/>
  <c r="L1009" i="5" s="1"/>
  <c r="L1008" i="5" s="1"/>
  <c r="L1003" i="5"/>
  <c r="L1002" i="5" s="1"/>
  <c r="L1000" i="5"/>
  <c r="L999" i="5" s="1"/>
  <c r="L997" i="5"/>
  <c r="L996" i="5" s="1"/>
  <c r="L988" i="5"/>
  <c r="L987" i="5" s="1"/>
  <c r="L985" i="5"/>
  <c r="L984" i="5" s="1"/>
  <c r="L982" i="5"/>
  <c r="L981" i="5" s="1"/>
  <c r="L979" i="5"/>
  <c r="L978" i="5" s="1"/>
  <c r="L972" i="5"/>
  <c r="L971" i="5" s="1"/>
  <c r="L970" i="5" s="1"/>
  <c r="L969" i="5" s="1"/>
  <c r="L967" i="5"/>
  <c r="L966" i="5" s="1"/>
  <c r="L964" i="5"/>
  <c r="L963" i="5" s="1"/>
  <c r="L961" i="5"/>
  <c r="L960" i="5" s="1"/>
  <c r="L954" i="5"/>
  <c r="L953" i="5" s="1"/>
  <c r="L951" i="5"/>
  <c r="L950" i="5" s="1"/>
  <c r="L943" i="5"/>
  <c r="L942" i="5" s="1"/>
  <c r="L941" i="5" s="1"/>
  <c r="L940" i="5" s="1"/>
  <c r="L939" i="5" s="1"/>
  <c r="L936" i="5"/>
  <c r="L935" i="5" s="1"/>
  <c r="L934" i="5" s="1"/>
  <c r="L932" i="5"/>
  <c r="L931" i="5" s="1"/>
  <c r="L930" i="5" s="1"/>
  <c r="L929" i="5" s="1"/>
  <c r="L924" i="5"/>
  <c r="L923" i="5" s="1"/>
  <c r="L922" i="5" s="1"/>
  <c r="L921" i="5" s="1"/>
  <c r="L920" i="5" s="1"/>
  <c r="L918" i="5"/>
  <c r="L917" i="5" s="1"/>
  <c r="L916" i="5" s="1"/>
  <c r="L912" i="5"/>
  <c r="L910" i="5"/>
  <c r="L906" i="5"/>
  <c r="L905" i="5" s="1"/>
  <c r="L903" i="5"/>
  <c r="L901" i="5"/>
  <c r="L892" i="5"/>
  <c r="L891" i="5" s="1"/>
  <c r="L890" i="5" s="1"/>
  <c r="L889" i="5" s="1"/>
  <c r="L888" i="5" s="1"/>
  <c r="L886" i="5"/>
  <c r="L885" i="5" s="1"/>
  <c r="L884" i="5" s="1"/>
  <c r="L883" i="5" s="1"/>
  <c r="L881" i="5"/>
  <c r="L880" i="5" s="1"/>
  <c r="L879" i="5" s="1"/>
  <c r="L878" i="5" s="1"/>
  <c r="L874" i="5"/>
  <c r="L873" i="5" s="1"/>
  <c r="L871" i="5"/>
  <c r="L870" i="5" s="1"/>
  <c r="L862" i="5"/>
  <c r="L860" i="5"/>
  <c r="L856" i="5"/>
  <c r="L854" i="5"/>
  <c r="L852" i="5"/>
  <c r="L849" i="5"/>
  <c r="L848" i="5" s="1"/>
  <c r="L847" i="5" s="1"/>
  <c r="L845" i="5"/>
  <c r="L844" i="5" s="1"/>
  <c r="L840" i="5"/>
  <c r="L839" i="5" s="1"/>
  <c r="L838" i="5" s="1"/>
  <c r="L834" i="5"/>
  <c r="L833" i="5" s="1"/>
  <c r="L832" i="5" s="1"/>
  <c r="L829" i="5"/>
  <c r="L828" i="5" s="1"/>
  <c r="L823" i="5" s="1"/>
  <c r="L819" i="5"/>
  <c r="L818" i="5" s="1"/>
  <c r="L817" i="5" s="1"/>
  <c r="L815" i="5"/>
  <c r="L814" i="5" s="1"/>
  <c r="L813" i="5" s="1"/>
  <c r="L811" i="5"/>
  <c r="L810" i="5" s="1"/>
  <c r="L808" i="5"/>
  <c r="L807" i="5" s="1"/>
  <c r="L805" i="5"/>
  <c r="L804" i="5" s="1"/>
  <c r="L801" i="5"/>
  <c r="L800" i="5" s="1"/>
  <c r="L795" i="5"/>
  <c r="L794" i="5" s="1"/>
  <c r="L792" i="5"/>
  <c r="L791" i="5" s="1"/>
  <c r="L786" i="5"/>
  <c r="L785" i="5" s="1"/>
  <c r="L783" i="5"/>
  <c r="L782" i="5" s="1"/>
  <c r="L780" i="5"/>
  <c r="L779" i="5" s="1"/>
  <c r="L777" i="5"/>
  <c r="L776" i="5" s="1"/>
  <c r="L772" i="5"/>
  <c r="L771" i="5" s="1"/>
  <c r="L770" i="5" s="1"/>
  <c r="L758" i="5"/>
  <c r="L757" i="5" s="1"/>
  <c r="L754" i="5"/>
  <c r="L751" i="5"/>
  <c r="L750" i="5" s="1"/>
  <c r="L749" i="5" s="1"/>
  <c r="L748" i="5" s="1"/>
  <c r="L746" i="5"/>
  <c r="L745" i="5" s="1"/>
  <c r="L744" i="5" s="1"/>
  <c r="L743" i="5" s="1"/>
  <c r="L739" i="5"/>
  <c r="L738" i="5" s="1"/>
  <c r="L735" i="5"/>
  <c r="L734" i="5" s="1"/>
  <c r="L733" i="5" s="1"/>
  <c r="L730" i="5"/>
  <c r="L729" i="5" s="1"/>
  <c r="L726" i="5"/>
  <c r="L725" i="5" s="1"/>
  <c r="L722" i="5"/>
  <c r="L721" i="5" s="1"/>
  <c r="L716" i="5"/>
  <c r="L715" i="5" s="1"/>
  <c r="L712" i="5"/>
  <c r="L711" i="5" s="1"/>
  <c r="L706" i="5"/>
  <c r="L705" i="5" s="1"/>
  <c r="L703" i="5"/>
  <c r="L702" i="5" s="1"/>
  <c r="L700" i="5"/>
  <c r="L699" i="5" s="1"/>
  <c r="L696" i="5"/>
  <c r="L695" i="5" s="1"/>
  <c r="L691" i="5"/>
  <c r="L690" i="5" s="1"/>
  <c r="L689" i="5" s="1"/>
  <c r="L683" i="5"/>
  <c r="L682" i="5" s="1"/>
  <c r="L680" i="5"/>
  <c r="L679" i="5" s="1"/>
  <c r="L676" i="5"/>
  <c r="L675" i="5" s="1"/>
  <c r="L672" i="5"/>
  <c r="L671" i="5" s="1"/>
  <c r="L670" i="5" s="1"/>
  <c r="L669" i="5" s="1"/>
  <c r="L668" i="5" s="1"/>
  <c r="L665" i="5"/>
  <c r="L664" i="5" s="1"/>
  <c r="L663" i="5" s="1"/>
  <c r="L662" i="5" s="1"/>
  <c r="L659" i="5"/>
  <c r="L658" i="5" s="1"/>
  <c r="L655" i="5"/>
  <c r="L654" i="5" s="1"/>
  <c r="L651" i="5"/>
  <c r="L650" i="5" s="1"/>
  <c r="L648" i="5"/>
  <c r="L647" i="5" s="1"/>
  <c r="L643" i="5"/>
  <c r="L642" i="5" s="1"/>
  <c r="L639" i="5"/>
  <c r="L638" i="5" s="1"/>
  <c r="L637" i="5" s="1"/>
  <c r="L630" i="5"/>
  <c r="L628" i="5"/>
  <c r="L624" i="5"/>
  <c r="L623" i="5" s="1"/>
  <c r="L617" i="5"/>
  <c r="L616" i="5" s="1"/>
  <c r="L614" i="5"/>
  <c r="L613" i="5" s="1"/>
  <c r="L608" i="5"/>
  <c r="L607" i="5" s="1"/>
  <c r="L606" i="5" s="1"/>
  <c r="L605" i="5" s="1"/>
  <c r="L604" i="5" s="1"/>
  <c r="L603" i="5" s="1"/>
  <c r="L600" i="5"/>
  <c r="L599" i="5" s="1"/>
  <c r="L598" i="5" s="1"/>
  <c r="L597" i="5" s="1"/>
  <c r="L594" i="5"/>
  <c r="L593" i="5" s="1"/>
  <c r="L592" i="5" s="1"/>
  <c r="L591" i="5" s="1"/>
  <c r="L589" i="5"/>
  <c r="L587" i="5"/>
  <c r="L581" i="5"/>
  <c r="L579" i="5"/>
  <c r="L574" i="5"/>
  <c r="L573" i="5" s="1"/>
  <c r="L572" i="5" s="1"/>
  <c r="L571" i="5" s="1"/>
  <c r="L565" i="5"/>
  <c r="L564" i="5" s="1"/>
  <c r="L562" i="5"/>
  <c r="L561" i="5" s="1"/>
  <c r="L559" i="5"/>
  <c r="L558" i="5" s="1"/>
  <c r="L556" i="5"/>
  <c r="L555" i="5" s="1"/>
  <c r="L551" i="5"/>
  <c r="L550" i="5" s="1"/>
  <c r="L549" i="5" s="1"/>
  <c r="L548" i="5" s="1"/>
  <c r="L536" i="5"/>
  <c r="L535" i="5" s="1"/>
  <c r="L534" i="5" s="1"/>
  <c r="L533" i="5" s="1"/>
  <c r="L532" i="5" s="1"/>
  <c r="L530" i="5"/>
  <c r="L529" i="5" s="1"/>
  <c r="L528" i="5" s="1"/>
  <c r="L526" i="5"/>
  <c r="L525" i="5" s="1"/>
  <c r="L523" i="5"/>
  <c r="L522" i="5" s="1"/>
  <c r="L521" i="5" s="1"/>
  <c r="L519" i="5"/>
  <c r="L518" i="5" s="1"/>
  <c r="L516" i="5"/>
  <c r="L515" i="5" s="1"/>
  <c r="L512" i="5"/>
  <c r="L510" i="5"/>
  <c r="L508" i="5"/>
  <c r="L501" i="5"/>
  <c r="L500" i="5" s="1"/>
  <c r="L499" i="5" s="1"/>
  <c r="L498" i="5" s="1"/>
  <c r="L495" i="5"/>
  <c r="L494" i="5" s="1"/>
  <c r="L493" i="5" s="1"/>
  <c r="L492" i="5" s="1"/>
  <c r="L491" i="5" s="1"/>
  <c r="L490" i="5" s="1"/>
  <c r="L487" i="5"/>
  <c r="L486" i="5" s="1"/>
  <c r="L485" i="5" s="1"/>
  <c r="L484" i="5" s="1"/>
  <c r="L483" i="5" s="1"/>
  <c r="L482" i="5" s="1"/>
  <c r="L481" i="5" s="1"/>
  <c r="L479" i="5"/>
  <c r="L478" i="5" s="1"/>
  <c r="L477" i="5" s="1"/>
  <c r="L476" i="5" s="1"/>
  <c r="L475" i="5" s="1"/>
  <c r="L473" i="5"/>
  <c r="L471" i="5"/>
  <c r="L469" i="5"/>
  <c r="L462" i="5"/>
  <c r="L461" i="5" s="1"/>
  <c r="L460" i="5" s="1"/>
  <c r="L459" i="5" s="1"/>
  <c r="L458" i="5" s="1"/>
  <c r="L457" i="5" s="1"/>
  <c r="I20" i="1" s="1"/>
  <c r="L453" i="5"/>
  <c r="L452" i="5" s="1"/>
  <c r="L450" i="5"/>
  <c r="L448" i="5"/>
  <c r="L446" i="5"/>
  <c r="L440" i="5"/>
  <c r="L438" i="5"/>
  <c r="L436" i="5"/>
  <c r="L430" i="5"/>
  <c r="L429" i="5" s="1"/>
  <c r="L428" i="5" s="1"/>
  <c r="L427" i="5" s="1"/>
  <c r="L425" i="5"/>
  <c r="L424" i="5" s="1"/>
  <c r="L423" i="5" s="1"/>
  <c r="L422" i="5" s="1"/>
  <c r="L420" i="5"/>
  <c r="L419" i="5" s="1"/>
  <c r="L418" i="5" s="1"/>
  <c r="L413" i="5"/>
  <c r="L412" i="5" s="1"/>
  <c r="L407" i="5"/>
  <c r="L406" i="5" s="1"/>
  <c r="L402" i="5"/>
  <c r="L401" i="5" s="1"/>
  <c r="L399" i="5"/>
  <c r="L398" i="5" s="1"/>
  <c r="L396" i="5"/>
  <c r="L395" i="5" s="1"/>
  <c r="L391" i="5"/>
  <c r="L389" i="5"/>
  <c r="L386" i="5"/>
  <c r="L385" i="5" s="1"/>
  <c r="L384" i="5" s="1"/>
  <c r="L383" i="5" s="1"/>
  <c r="L381" i="5"/>
  <c r="L380" i="5" s="1"/>
  <c r="L379" i="5" s="1"/>
  <c r="L378" i="5" s="1"/>
  <c r="L376" i="5"/>
  <c r="L375" i="5" s="1"/>
  <c r="L374" i="5" s="1"/>
  <c r="L373" i="5" s="1"/>
  <c r="L371" i="5"/>
  <c r="L370" i="5" s="1"/>
  <c r="L369" i="5" s="1"/>
  <c r="L368" i="5" s="1"/>
  <c r="L362" i="5"/>
  <c r="L355" i="5"/>
  <c r="L354" i="5" s="1"/>
  <c r="L352" i="5"/>
  <c r="L351" i="5" s="1"/>
  <c r="L349" i="5"/>
  <c r="L348" i="5" s="1"/>
  <c r="L344" i="5"/>
  <c r="L342" i="5"/>
  <c r="L340" i="5"/>
  <c r="L337" i="5"/>
  <c r="L336" i="5" s="1"/>
  <c r="L332" i="5"/>
  <c r="L331" i="5" s="1"/>
  <c r="L330" i="5" s="1"/>
  <c r="L329" i="5" s="1"/>
  <c r="L327" i="5"/>
  <c r="L326" i="5" s="1"/>
  <c r="L325" i="5" s="1"/>
  <c r="L323" i="5"/>
  <c r="L322" i="5" s="1"/>
  <c r="L321" i="5" s="1"/>
  <c r="L320" i="5" s="1"/>
  <c r="L318" i="5"/>
  <c r="L317" i="5" s="1"/>
  <c r="L316" i="5" s="1"/>
  <c r="L314" i="5"/>
  <c r="L313" i="5" s="1"/>
  <c r="L312" i="5" s="1"/>
  <c r="L309" i="5"/>
  <c r="L308" i="5" s="1"/>
  <c r="L307" i="5" s="1"/>
  <c r="L305" i="5"/>
  <c r="L304" i="5" s="1"/>
  <c r="L302" i="5"/>
  <c r="L301" i="5" s="1"/>
  <c r="L298" i="5"/>
  <c r="L297" i="5" s="1"/>
  <c r="L296" i="5" s="1"/>
  <c r="L294" i="5"/>
  <c r="L293" i="5" s="1"/>
  <c r="L292" i="5" s="1"/>
  <c r="L290" i="5"/>
  <c r="L289" i="5" s="1"/>
  <c r="L288" i="5" s="1"/>
  <c r="L286" i="5"/>
  <c r="L285" i="5" s="1"/>
  <c r="L284" i="5" s="1"/>
  <c r="L283" i="5" s="1"/>
  <c r="L279" i="5"/>
  <c r="L277" i="5"/>
  <c r="L274" i="5"/>
  <c r="L272" i="5"/>
  <c r="L265" i="5"/>
  <c r="L264" i="5" s="1"/>
  <c r="L263" i="5" s="1"/>
  <c r="L262" i="5" s="1"/>
  <c r="L261" i="5" s="1"/>
  <c r="L260" i="5" s="1"/>
  <c r="L259" i="5" s="1"/>
  <c r="L257" i="5"/>
  <c r="L256" i="5" s="1"/>
  <c r="L254" i="5"/>
  <c r="L253" i="5" s="1"/>
  <c r="L251" i="5"/>
  <c r="L250" i="5" s="1"/>
  <c r="L247" i="5"/>
  <c r="L246" i="5" s="1"/>
  <c r="L244" i="5"/>
  <c r="L243" i="5" s="1"/>
  <c r="L238" i="5"/>
  <c r="L237" i="5" s="1"/>
  <c r="L235" i="5"/>
  <c r="L234" i="5" s="1"/>
  <c r="L231" i="5"/>
  <c r="L230" i="5" s="1"/>
  <c r="L226" i="5"/>
  <c r="L225" i="5" s="1"/>
  <c r="L224" i="5" s="1"/>
  <c r="L222" i="5"/>
  <c r="L221" i="5" s="1"/>
  <c r="L220" i="5" s="1"/>
  <c r="L217" i="5"/>
  <c r="L216" i="5" s="1"/>
  <c r="L214" i="5"/>
  <c r="L213" i="5" s="1"/>
  <c r="L208" i="5"/>
  <c r="L207" i="5" s="1"/>
  <c r="L206" i="5" s="1"/>
  <c r="L204" i="5"/>
  <c r="L203" i="5" s="1"/>
  <c r="L201" i="5"/>
  <c r="L200" i="5" s="1"/>
  <c r="L197" i="5"/>
  <c r="L196" i="5" s="1"/>
  <c r="L192" i="5"/>
  <c r="L190" i="5"/>
  <c r="L184" i="5"/>
  <c r="L182" i="5"/>
  <c r="L180" i="5"/>
  <c r="L175" i="5"/>
  <c r="L174" i="5" s="1"/>
  <c r="L173" i="5" s="1"/>
  <c r="L171" i="5"/>
  <c r="L169" i="5"/>
  <c r="L166" i="5"/>
  <c r="L165" i="5" s="1"/>
  <c r="L162" i="5"/>
  <c r="L161" i="5" s="1"/>
  <c r="L159" i="5"/>
  <c r="L158" i="5" s="1"/>
  <c r="L156" i="5"/>
  <c r="L155" i="5" s="1"/>
  <c r="L152" i="5"/>
  <c r="L151" i="5" s="1"/>
  <c r="L149" i="5"/>
  <c r="L147" i="5"/>
  <c r="L145" i="5"/>
  <c r="L139" i="5"/>
  <c r="L138" i="5" s="1"/>
  <c r="L136" i="5"/>
  <c r="L135" i="5" s="1"/>
  <c r="L126" i="5"/>
  <c r="L125" i="5" s="1"/>
  <c r="L124" i="5" s="1"/>
  <c r="L122" i="5"/>
  <c r="L121" i="5" s="1"/>
  <c r="L119" i="5"/>
  <c r="L118" i="5" s="1"/>
  <c r="L116" i="5"/>
  <c r="L115" i="5" s="1"/>
  <c r="L108" i="5"/>
  <c r="L107" i="5" s="1"/>
  <c r="L105" i="5"/>
  <c r="L104" i="5" s="1"/>
  <c r="L101" i="5"/>
  <c r="L100" i="5" s="1"/>
  <c r="L98" i="5"/>
  <c r="L97" i="5" s="1"/>
  <c r="L93" i="5"/>
  <c r="L92" i="5" s="1"/>
  <c r="L91" i="5" s="1"/>
  <c r="L89" i="5"/>
  <c r="L88" i="5" s="1"/>
  <c r="L86" i="5"/>
  <c r="L85" i="5" s="1"/>
  <c r="L82" i="5"/>
  <c r="L80" i="5"/>
  <c r="L78" i="5"/>
  <c r="L73" i="5"/>
  <c r="L72" i="5" s="1"/>
  <c r="L71" i="5" s="1"/>
  <c r="L69" i="5"/>
  <c r="L68" i="5" s="1"/>
  <c r="L65" i="5"/>
  <c r="L64" i="5" s="1"/>
  <c r="L61" i="5"/>
  <c r="L60" i="5" s="1"/>
  <c r="L59" i="5" s="1"/>
  <c r="L57" i="5"/>
  <c r="L55" i="5"/>
  <c r="L52" i="5"/>
  <c r="L50" i="5"/>
  <c r="L48" i="5"/>
  <c r="L42" i="5"/>
  <c r="L41" i="5" s="1"/>
  <c r="L40" i="5" s="1"/>
  <c r="L35" i="5"/>
  <c r="L34" i="5" s="1"/>
  <c r="L32" i="5"/>
  <c r="L30" i="5"/>
  <c r="L27" i="5"/>
  <c r="L25" i="5"/>
  <c r="K1216" i="5"/>
  <c r="M1216" i="5" s="1"/>
  <c r="O1216" i="5" s="1"/>
  <c r="K812" i="5"/>
  <c r="M812" i="5" s="1"/>
  <c r="O812" i="5" s="1"/>
  <c r="K796" i="5"/>
  <c r="M796" i="5" s="1"/>
  <c r="O796" i="5" s="1"/>
  <c r="K793" i="5"/>
  <c r="M793" i="5" s="1"/>
  <c r="O793" i="5" s="1"/>
  <c r="K661" i="5"/>
  <c r="M661" i="5" s="1"/>
  <c r="O661" i="5" s="1"/>
  <c r="K660" i="5"/>
  <c r="M660" i="5" s="1"/>
  <c r="O660" i="5" s="1"/>
  <c r="K653" i="5"/>
  <c r="M653" i="5" s="1"/>
  <c r="O653" i="5" s="1"/>
  <c r="K652" i="5"/>
  <c r="M652" i="5" s="1"/>
  <c r="O652" i="5" s="1"/>
  <c r="K513" i="5"/>
  <c r="M513" i="5" s="1"/>
  <c r="O513" i="5" s="1"/>
  <c r="K403" i="5"/>
  <c r="M403" i="5" s="1"/>
  <c r="O403" i="5" s="1"/>
  <c r="K266" i="5"/>
  <c r="M266" i="5" s="1"/>
  <c r="O266" i="5" s="1"/>
  <c r="I1019" i="6"/>
  <c r="J1215" i="5"/>
  <c r="K1215" i="5" s="1"/>
  <c r="J1161" i="5"/>
  <c r="J1111" i="5"/>
  <c r="I176" i="6"/>
  <c r="J176" i="6" s="1"/>
  <c r="A1214" i="5"/>
  <c r="A1215" i="5"/>
  <c r="A172" i="6"/>
  <c r="A175" i="6"/>
  <c r="A173" i="6"/>
  <c r="A176" i="6"/>
  <c r="A1216" i="5"/>
  <c r="A1213" i="5"/>
  <c r="K92" i="6" l="1"/>
  <c r="K91" i="6" s="1"/>
  <c r="K90" i="6" s="1"/>
  <c r="K89" i="6" s="1"/>
  <c r="L176" i="6"/>
  <c r="N176" i="6" s="1"/>
  <c r="L1247" i="5"/>
  <c r="L977" i="5"/>
  <c r="L1130" i="5"/>
  <c r="K282" i="6"/>
  <c r="K703" i="6"/>
  <c r="K104" i="6"/>
  <c r="K103" i="6" s="1"/>
  <c r="K102" i="6" s="1"/>
  <c r="K101" i="6" s="1"/>
  <c r="L93" i="6"/>
  <c r="N93" i="6" s="1"/>
  <c r="L1335" i="6"/>
  <c r="N1335" i="6" s="1"/>
  <c r="L105" i="6"/>
  <c r="N105" i="6" s="1"/>
  <c r="L1393" i="6"/>
  <c r="N1393" i="6" s="1"/>
  <c r="L674" i="5"/>
  <c r="L515" i="6"/>
  <c r="N515" i="6" s="1"/>
  <c r="K514" i="6"/>
  <c r="L514" i="6" s="1"/>
  <c r="N514" i="6" s="1"/>
  <c r="L1119" i="5"/>
  <c r="I31" i="1" s="1"/>
  <c r="L1169" i="5"/>
  <c r="L1293" i="5"/>
  <c r="K116" i="6"/>
  <c r="K115" i="6" s="1"/>
  <c r="L859" i="5"/>
  <c r="L858" i="5" s="1"/>
  <c r="L233" i="5"/>
  <c r="L229" i="5" s="1"/>
  <c r="L1298" i="5"/>
  <c r="L47" i="5"/>
  <c r="M1215" i="5"/>
  <c r="O1215" i="5" s="1"/>
  <c r="L179" i="5"/>
  <c r="L178" i="5" s="1"/>
  <c r="L177" i="5" s="1"/>
  <c r="K149" i="6"/>
  <c r="K148" i="6" s="1"/>
  <c r="K147" i="6" s="1"/>
  <c r="K146" i="6" s="1"/>
  <c r="L578" i="5"/>
  <c r="L577" i="5" s="1"/>
  <c r="L576" i="5" s="1"/>
  <c r="L570" i="5" s="1"/>
  <c r="L1024" i="5"/>
  <c r="L1023" i="5" s="1"/>
  <c r="L103" i="5"/>
  <c r="L271" i="5"/>
  <c r="K844" i="6"/>
  <c r="L602" i="5"/>
  <c r="I52" i="1"/>
  <c r="I51" i="1" s="1"/>
  <c r="L596" i="5"/>
  <c r="L938" i="5"/>
  <c r="I65" i="1"/>
  <c r="I64" i="1" s="1"/>
  <c r="L134" i="5"/>
  <c r="L128" i="5" s="1"/>
  <c r="L468" i="5"/>
  <c r="L467" i="5" s="1"/>
  <c r="L466" i="5" s="1"/>
  <c r="L465" i="5" s="1"/>
  <c r="L464" i="5" s="1"/>
  <c r="I21" i="1" s="1"/>
  <c r="L24" i="5"/>
  <c r="L276" i="5"/>
  <c r="L1163" i="5"/>
  <c r="L1162" i="5" s="1"/>
  <c r="L1158" i="5" s="1"/>
  <c r="J1214" i="5"/>
  <c r="K1214" i="5" s="1"/>
  <c r="M1214" i="5" s="1"/>
  <c r="O1214" i="5" s="1"/>
  <c r="L29" i="5"/>
  <c r="L144" i="5"/>
  <c r="L168" i="5"/>
  <c r="L164" i="5" s="1"/>
  <c r="L339" i="5"/>
  <c r="L335" i="5" s="1"/>
  <c r="L388" i="5"/>
  <c r="L367" i="5" s="1"/>
  <c r="L554" i="5"/>
  <c r="L553" i="5" s="1"/>
  <c r="L900" i="5"/>
  <c r="L899" i="5" s="1"/>
  <c r="L898" i="5" s="1"/>
  <c r="L949" i="5"/>
  <c r="L948" i="5" s="1"/>
  <c r="L947" i="5" s="1"/>
  <c r="L946" i="5" s="1"/>
  <c r="L1013" i="5"/>
  <c r="L1039" i="5"/>
  <c r="L1038" i="5" s="1"/>
  <c r="L1115" i="5"/>
  <c r="L1114" i="5" s="1"/>
  <c r="K1022" i="6"/>
  <c r="K1021" i="6" s="1"/>
  <c r="K1020" i="6" s="1"/>
  <c r="L435" i="5"/>
  <c r="L434" i="5" s="1"/>
  <c r="L433" i="5" s="1"/>
  <c r="L432" i="5" s="1"/>
  <c r="L909" i="5"/>
  <c r="L908" i="5" s="1"/>
  <c r="L1044" i="5"/>
  <c r="L54" i="5"/>
  <c r="L77" i="5"/>
  <c r="L76" i="5" s="1"/>
  <c r="L507" i="5"/>
  <c r="L506" i="5" s="1"/>
  <c r="L505" i="5" s="1"/>
  <c r="L586" i="5"/>
  <c r="L585" i="5" s="1"/>
  <c r="L584" i="5" s="1"/>
  <c r="L583" i="5" s="1"/>
  <c r="I38" i="1" s="1"/>
  <c r="K1125" i="6"/>
  <c r="K61" i="6"/>
  <c r="K60" i="6" s="1"/>
  <c r="K59" i="6" s="1"/>
  <c r="K58" i="6" s="1"/>
  <c r="K57" i="6" s="1"/>
  <c r="K221" i="6"/>
  <c r="K220" i="6" s="1"/>
  <c r="K219" i="6" s="1"/>
  <c r="K218" i="6" s="1"/>
  <c r="K98" i="6"/>
  <c r="K97" i="6" s="1"/>
  <c r="K96" i="6" s="1"/>
  <c r="K95" i="6" s="1"/>
  <c r="K812" i="6"/>
  <c r="K923" i="6"/>
  <c r="K375" i="6"/>
  <c r="K799" i="6"/>
  <c r="K794" i="6" s="1"/>
  <c r="K793" i="6" s="1"/>
  <c r="K792" i="6" s="1"/>
  <c r="K791" i="6" s="1"/>
  <c r="K441" i="6"/>
  <c r="K440" i="6" s="1"/>
  <c r="K439" i="6" s="1"/>
  <c r="K677" i="6"/>
  <c r="K676" i="6" s="1"/>
  <c r="K675" i="6" s="1"/>
  <c r="K1221" i="6"/>
  <c r="K1220" i="6" s="1"/>
  <c r="K1215" i="6" s="1"/>
  <c r="K128" i="6"/>
  <c r="K127" i="6" s="1"/>
  <c r="K126" i="6" s="1"/>
  <c r="K125" i="6" s="1"/>
  <c r="K139" i="6"/>
  <c r="K138" i="6" s="1"/>
  <c r="K241" i="6"/>
  <c r="K240" i="6" s="1"/>
  <c r="K239" i="6" s="1"/>
  <c r="K238" i="6" s="1"/>
  <c r="K635" i="6"/>
  <c r="K634" i="6" s="1"/>
  <c r="K633" i="6" s="1"/>
  <c r="K479" i="6"/>
  <c r="K478" i="6" s="1"/>
  <c r="K477" i="6" s="1"/>
  <c r="L361" i="5"/>
  <c r="L360" i="5" s="1"/>
  <c r="L359" i="5" s="1"/>
  <c r="L358" i="5" s="1"/>
  <c r="I54" i="1" s="1"/>
  <c r="K112" i="6"/>
  <c r="K111" i="6" s="1"/>
  <c r="K231" i="6"/>
  <c r="K230" i="6" s="1"/>
  <c r="K395" i="6"/>
  <c r="K394" i="6" s="1"/>
  <c r="K393" i="6" s="1"/>
  <c r="K392" i="6" s="1"/>
  <c r="K486" i="6"/>
  <c r="K485" i="6" s="1"/>
  <c r="K484" i="6" s="1"/>
  <c r="K642" i="6"/>
  <c r="K641" i="6" s="1"/>
  <c r="K640" i="6" s="1"/>
  <c r="K36" i="6"/>
  <c r="K35" i="6" s="1"/>
  <c r="K34" i="6" s="1"/>
  <c r="K33" i="6" s="1"/>
  <c r="K529" i="6"/>
  <c r="K583" i="6"/>
  <c r="K1078" i="6"/>
  <c r="K1417" i="6"/>
  <c r="K1416" i="6" s="1"/>
  <c r="K1415" i="6" s="1"/>
  <c r="K1414" i="6" s="1"/>
  <c r="K1358" i="6"/>
  <c r="K361" i="6"/>
  <c r="K355" i="6" s="1"/>
  <c r="K74" i="6"/>
  <c r="K73" i="6" s="1"/>
  <c r="K408" i="6"/>
  <c r="K407" i="6" s="1"/>
  <c r="K421" i="6"/>
  <c r="K420" i="6" s="1"/>
  <c r="K419" i="6" s="1"/>
  <c r="K418" i="6" s="1"/>
  <c r="K427" i="6"/>
  <c r="K426" i="6" s="1"/>
  <c r="K425" i="6" s="1"/>
  <c r="K424" i="6" s="1"/>
  <c r="K548" i="6"/>
  <c r="K547" i="6" s="1"/>
  <c r="K546" i="6" s="1"/>
  <c r="K574" i="6"/>
  <c r="K573" i="6" s="1"/>
  <c r="K572" i="6" s="1"/>
  <c r="K571" i="6" s="1"/>
  <c r="K570" i="6" s="1"/>
  <c r="K896" i="6"/>
  <c r="K893" i="6" s="1"/>
  <c r="K892" i="6" s="1"/>
  <c r="K891" i="6" s="1"/>
  <c r="K1067" i="6"/>
  <c r="K1066" i="6" s="1"/>
  <c r="K1065" i="6" s="1"/>
  <c r="K1139" i="6"/>
  <c r="K1134" i="6" s="1"/>
  <c r="K1403" i="6"/>
  <c r="K1402" i="6" s="1"/>
  <c r="K1401" i="6" s="1"/>
  <c r="K1400" i="6" s="1"/>
  <c r="K1399" i="6" s="1"/>
  <c r="K1009" i="6"/>
  <c r="K1108" i="6"/>
  <c r="K1455" i="6"/>
  <c r="K1454" i="6" s="1"/>
  <c r="K1453" i="6" s="1"/>
  <c r="K1447" i="6" s="1"/>
  <c r="K27" i="6"/>
  <c r="K26" i="6" s="1"/>
  <c r="K25" i="6" s="1"/>
  <c r="K24" i="6" s="1"/>
  <c r="K70" i="6"/>
  <c r="K69" i="6" s="1"/>
  <c r="K122" i="6"/>
  <c r="K121" i="6" s="1"/>
  <c r="K120" i="6" s="1"/>
  <c r="K119" i="6" s="1"/>
  <c r="K135" i="6"/>
  <c r="K134" i="6" s="1"/>
  <c r="K156" i="6"/>
  <c r="K155" i="6" s="1"/>
  <c r="K154" i="6" s="1"/>
  <c r="K153" i="6" s="1"/>
  <c r="K152" i="6" s="1"/>
  <c r="K337" i="6"/>
  <c r="K336" i="6" s="1"/>
  <c r="K335" i="6" s="1"/>
  <c r="K334" i="6" s="1"/>
  <c r="K333" i="6" s="1"/>
  <c r="K404" i="6"/>
  <c r="K403" i="6" s="1"/>
  <c r="K930" i="6"/>
  <c r="K1095" i="6"/>
  <c r="K1094" i="6" s="1"/>
  <c r="K1093" i="6" s="1"/>
  <c r="K1088" i="6" s="1"/>
  <c r="K41" i="6"/>
  <c r="K40" i="6" s="1"/>
  <c r="K39" i="6" s="1"/>
  <c r="K275" i="6"/>
  <c r="K274" i="6" s="1"/>
  <c r="K273" i="6" s="1"/>
  <c r="K413" i="6"/>
  <c r="K412" i="6" s="1"/>
  <c r="K411" i="6" s="1"/>
  <c r="K454" i="6"/>
  <c r="K453" i="6" s="1"/>
  <c r="K452" i="6" s="1"/>
  <c r="K592" i="6"/>
  <c r="K690" i="6"/>
  <c r="K689" i="6" s="1"/>
  <c r="K688" i="6" s="1"/>
  <c r="K687" i="6" s="1"/>
  <c r="K1053" i="6"/>
  <c r="K1052" i="6" s="1"/>
  <c r="K1051" i="6" s="1"/>
  <c r="K1159" i="6"/>
  <c r="K1158" i="6" s="1"/>
  <c r="K1157" i="6" s="1"/>
  <c r="K1151" i="6" s="1"/>
  <c r="K1270" i="6"/>
  <c r="K1269" i="6" s="1"/>
  <c r="K1264" i="6" s="1"/>
  <c r="K1253" i="6" s="1"/>
  <c r="K1353" i="6"/>
  <c r="K1374" i="6"/>
  <c r="K1373" i="6" s="1"/>
  <c r="K1372" i="6" s="1"/>
  <c r="K1325" i="6"/>
  <c r="K1324" i="6" s="1"/>
  <c r="K194" i="6"/>
  <c r="K193" i="6" s="1"/>
  <c r="K268" i="6"/>
  <c r="K267" i="6" s="1"/>
  <c r="K266" i="6" s="1"/>
  <c r="K265" i="6" s="1"/>
  <c r="K461" i="6"/>
  <c r="K460" i="6" s="1"/>
  <c r="K563" i="6"/>
  <c r="K559" i="6" s="1"/>
  <c r="K558" i="6" s="1"/>
  <c r="K720" i="6"/>
  <c r="K719" i="6" s="1"/>
  <c r="K778" i="6"/>
  <c r="K777" i="6" s="1"/>
  <c r="K776" i="6" s="1"/>
  <c r="K775" i="6" s="1"/>
  <c r="K876" i="6"/>
  <c r="K871" i="6" s="1"/>
  <c r="K1174" i="6"/>
  <c r="K1168" i="6" s="1"/>
  <c r="K1194" i="6"/>
  <c r="K1193" i="6" s="1"/>
  <c r="K1192" i="6" s="1"/>
  <c r="K1186" i="6" s="1"/>
  <c r="K1427" i="6"/>
  <c r="K1426" i="6" s="1"/>
  <c r="K51" i="6"/>
  <c r="K50" i="6" s="1"/>
  <c r="K49" i="6" s="1"/>
  <c r="K48" i="6" s="1"/>
  <c r="K786" i="6"/>
  <c r="K785" i="6" s="1"/>
  <c r="K784" i="6" s="1"/>
  <c r="K907" i="6"/>
  <c r="K906" i="6" s="1"/>
  <c r="K905" i="6" s="1"/>
  <c r="K904" i="6" s="1"/>
  <c r="K982" i="6"/>
  <c r="K1118" i="6"/>
  <c r="K1117" i="6" s="1"/>
  <c r="K1206" i="6"/>
  <c r="K1239" i="6"/>
  <c r="K1238" i="6" s="1"/>
  <c r="K1232" i="6" s="1"/>
  <c r="K1300" i="6"/>
  <c r="K1299" i="6" s="1"/>
  <c r="K1294" i="6" s="1"/>
  <c r="K1288" i="6" s="1"/>
  <c r="K748" i="6"/>
  <c r="K747" i="6"/>
  <c r="K186" i="6"/>
  <c r="K185" i="6" s="1"/>
  <c r="K184" i="6" s="1"/>
  <c r="K183" i="6" s="1"/>
  <c r="K769" i="6"/>
  <c r="K768" i="6" s="1"/>
  <c r="K767" i="6" s="1"/>
  <c r="K766" i="6" s="1"/>
  <c r="K760" i="6" s="1"/>
  <c r="L189" i="5"/>
  <c r="L188" i="5" s="1"/>
  <c r="L187" i="5" s="1"/>
  <c r="I30" i="1" s="1"/>
  <c r="L300" i="5"/>
  <c r="L84" i="5"/>
  <c r="L775" i="5"/>
  <c r="L774" i="5" s="1"/>
  <c r="L445" i="5"/>
  <c r="L444" i="5" s="1"/>
  <c r="L443" i="5" s="1"/>
  <c r="L627" i="5"/>
  <c r="L626" i="5" s="1"/>
  <c r="L622" i="5" s="1"/>
  <c r="L621" i="5" s="1"/>
  <c r="L620" i="5" s="1"/>
  <c r="L619" i="5" s="1"/>
  <c r="L851" i="5"/>
  <c r="L869" i="5"/>
  <c r="L868" i="5" s="1"/>
  <c r="L867" i="5" s="1"/>
  <c r="L866" i="5" s="1"/>
  <c r="L865" i="5" s="1"/>
  <c r="L1089" i="5"/>
  <c r="L114" i="5"/>
  <c r="L113" i="5" s="1"/>
  <c r="L612" i="5"/>
  <c r="L611" i="5" s="1"/>
  <c r="L610" i="5" s="1"/>
  <c r="L694" i="5"/>
  <c r="L693" i="5" s="1"/>
  <c r="L347" i="5"/>
  <c r="L346" i="5" s="1"/>
  <c r="L405" i="5"/>
  <c r="L404" i="5" s="1"/>
  <c r="L1095" i="5"/>
  <c r="L1094" i="5" s="1"/>
  <c r="L1256" i="5"/>
  <c r="L1274" i="5"/>
  <c r="L1273" i="5" s="1"/>
  <c r="L1272" i="5" s="1"/>
  <c r="L1311" i="5"/>
  <c r="L1310" i="5" s="1"/>
  <c r="L1309" i="5" s="1"/>
  <c r="L1308" i="5" s="1"/>
  <c r="L1307" i="5" s="1"/>
  <c r="L1306" i="5" s="1"/>
  <c r="L63" i="5"/>
  <c r="L212" i="5"/>
  <c r="L211" i="5" s="1"/>
  <c r="L210" i="5" s="1"/>
  <c r="L1184" i="5"/>
  <c r="L1147" i="5"/>
  <c r="L1107" i="5"/>
  <c r="L1103" i="5" s="1"/>
  <c r="L799" i="5"/>
  <c r="L798" i="5" s="1"/>
  <c r="L797" i="5" s="1"/>
  <c r="L720" i="5"/>
  <c r="L719" i="5" s="1"/>
  <c r="L154" i="5"/>
  <c r="L219" i="5"/>
  <c r="L311" i="5"/>
  <c r="L742" i="5"/>
  <c r="L753" i="5"/>
  <c r="L790" i="5"/>
  <c r="L789" i="5" s="1"/>
  <c r="L788" i="5" s="1"/>
  <c r="L928" i="5"/>
  <c r="L927" i="5" s="1"/>
  <c r="L926" i="5" s="1"/>
  <c r="L37" i="5"/>
  <c r="I23" i="1" s="1"/>
  <c r="L39" i="5"/>
  <c r="L38" i="5" s="1"/>
  <c r="L394" i="5"/>
  <c r="L646" i="5"/>
  <c r="L636" i="5" s="1"/>
  <c r="L710" i="5"/>
  <c r="L877" i="5"/>
  <c r="L876" i="5" s="1"/>
  <c r="L959" i="5"/>
  <c r="L958" i="5" s="1"/>
  <c r="L957" i="5" s="1"/>
  <c r="L956" i="5" s="1"/>
  <c r="L1052" i="5"/>
  <c r="L1220" i="5"/>
  <c r="L1219" i="5" s="1"/>
  <c r="L1218" i="5" s="1"/>
  <c r="L1236" i="5"/>
  <c r="L914" i="5"/>
  <c r="I25" i="1" s="1"/>
  <c r="L915" i="5"/>
  <c r="L96" i="5"/>
  <c r="L95" i="5" s="1"/>
  <c r="L199" i="5"/>
  <c r="L195" i="5" s="1"/>
  <c r="L249" i="5"/>
  <c r="L822" i="5"/>
  <c r="L821" i="5" s="1"/>
  <c r="L1067" i="5"/>
  <c r="L1066" i="5" s="1"/>
  <c r="I59" i="1" s="1"/>
  <c r="L1205" i="5"/>
  <c r="I175" i="6"/>
  <c r="J175" i="6" s="1"/>
  <c r="L175" i="6" s="1"/>
  <c r="N175" i="6" s="1"/>
  <c r="J811" i="5"/>
  <c r="A812" i="5"/>
  <c r="A811" i="5"/>
  <c r="A810" i="5"/>
  <c r="L843" i="5" l="1"/>
  <c r="L842" i="5" s="1"/>
  <c r="I47" i="1" s="1"/>
  <c r="L1129" i="5"/>
  <c r="L1128" i="5" s="1"/>
  <c r="M1247" i="5"/>
  <c r="O1247" i="5" s="1"/>
  <c r="L1246" i="5"/>
  <c r="L1235" i="5" s="1"/>
  <c r="L1234" i="5" s="1"/>
  <c r="L1217" i="5" s="1"/>
  <c r="K83" i="6"/>
  <c r="L976" i="5"/>
  <c r="L975" i="5" s="1"/>
  <c r="I49" i="1" s="1"/>
  <c r="K702" i="6"/>
  <c r="L897" i="5"/>
  <c r="L896" i="5" s="1"/>
  <c r="L895" i="5" s="1"/>
  <c r="L894" i="5" s="1"/>
  <c r="L504" i="5"/>
  <c r="L503" i="5" s="1"/>
  <c r="L497" i="5" s="1"/>
  <c r="K783" i="6"/>
  <c r="K774" i="6" s="1"/>
  <c r="K582" i="6"/>
  <c r="L456" i="5"/>
  <c r="L455" i="5" s="1"/>
  <c r="J1213" i="5"/>
  <c r="K1213" i="5" s="1"/>
  <c r="M1213" i="5" s="1"/>
  <c r="O1213" i="5" s="1"/>
  <c r="K503" i="6"/>
  <c r="K497" i="6" s="1"/>
  <c r="L1292" i="5"/>
  <c r="L1291" i="5" s="1"/>
  <c r="L1290" i="5" s="1"/>
  <c r="L1289" i="5" s="1"/>
  <c r="K110" i="6"/>
  <c r="K109" i="6" s="1"/>
  <c r="K108" i="6" s="1"/>
  <c r="L635" i="5"/>
  <c r="L634" i="5" s="1"/>
  <c r="I42" i="1" s="1"/>
  <c r="L282" i="5"/>
  <c r="I45" i="1" s="1"/>
  <c r="L334" i="5"/>
  <c r="I46" i="1" s="1"/>
  <c r="L270" i="5"/>
  <c r="L269" i="5" s="1"/>
  <c r="L268" i="5" s="1"/>
  <c r="L267" i="5" s="1"/>
  <c r="L1168" i="5"/>
  <c r="L1157" i="5" s="1"/>
  <c r="L46" i="5"/>
  <c r="L45" i="5" s="1"/>
  <c r="L1037" i="5"/>
  <c r="L1036" i="5" s="1"/>
  <c r="I50" i="1" s="1"/>
  <c r="K632" i="6"/>
  <c r="K626" i="6" s="1"/>
  <c r="I44" i="1"/>
  <c r="L23" i="5"/>
  <c r="L22" i="5" s="1"/>
  <c r="L21" i="5" s="1"/>
  <c r="L20" i="5" s="1"/>
  <c r="I22" i="1" s="1"/>
  <c r="L864" i="5"/>
  <c r="I56" i="1"/>
  <c r="L442" i="5"/>
  <c r="I63" i="1"/>
  <c r="I62" i="1" s="1"/>
  <c r="L1113" i="5"/>
  <c r="K1005" i="6" s="1"/>
  <c r="K1004" i="6" s="1"/>
  <c r="K1003" i="6" s="1"/>
  <c r="K1006" i="6"/>
  <c r="L194" i="5"/>
  <c r="I33" i="1" s="1"/>
  <c r="L143" i="5"/>
  <c r="L142" i="5" s="1"/>
  <c r="L1085" i="5"/>
  <c r="L1084" i="5" s="1"/>
  <c r="I61" i="1" s="1"/>
  <c r="I58" i="1" s="1"/>
  <c r="L75" i="5"/>
  <c r="K1352" i="6"/>
  <c r="K1351" i="6" s="1"/>
  <c r="K402" i="6"/>
  <c r="K401" i="6" s="1"/>
  <c r="K386" i="6" s="1"/>
  <c r="K23" i="6"/>
  <c r="L539" i="5"/>
  <c r="K438" i="6"/>
  <c r="K437" i="6" s="1"/>
  <c r="K914" i="6"/>
  <c r="K913" i="6" s="1"/>
  <c r="K476" i="6"/>
  <c r="K459" i="6" s="1"/>
  <c r="L1192" i="5"/>
  <c r="K133" i="6"/>
  <c r="K132" i="6" s="1"/>
  <c r="K131" i="6" s="1"/>
  <c r="K1287" i="6"/>
  <c r="K217" i="6"/>
  <c r="K68" i="6"/>
  <c r="K67" i="6" s="1"/>
  <c r="K870" i="6"/>
  <c r="K545" i="6"/>
  <c r="K1087" i="6"/>
  <c r="K1064" i="6" s="1"/>
  <c r="K1205" i="6"/>
  <c r="K1185" i="6" s="1"/>
  <c r="K182" i="6"/>
  <c r="K264" i="6"/>
  <c r="L393" i="5"/>
  <c r="L366" i="5" s="1"/>
  <c r="J810" i="5"/>
  <c r="K810" i="5" s="1"/>
  <c r="M810" i="5" s="1"/>
  <c r="O810" i="5" s="1"/>
  <c r="K811" i="5"/>
  <c r="M811" i="5" s="1"/>
  <c r="O811" i="5" s="1"/>
  <c r="L228" i="5"/>
  <c r="L709" i="5"/>
  <c r="L708" i="5" s="1"/>
  <c r="I174" i="6"/>
  <c r="J174" i="6" s="1"/>
  <c r="L174" i="6" s="1"/>
  <c r="N174" i="6" s="1"/>
  <c r="J803" i="5"/>
  <c r="J802" i="5"/>
  <c r="J1110" i="5"/>
  <c r="F898" i="6"/>
  <c r="G898" i="6"/>
  <c r="I898" i="6"/>
  <c r="A898" i="6"/>
  <c r="K56" i="6" l="1"/>
  <c r="L44" i="5"/>
  <c r="L19" i="5" s="1"/>
  <c r="K1350" i="6"/>
  <c r="K1343" i="6" s="1"/>
  <c r="K1342" i="6" s="1"/>
  <c r="I24" i="1"/>
  <c r="I57" i="1"/>
  <c r="L1065" i="5"/>
  <c r="L1051" i="5" s="1"/>
  <c r="L281" i="5"/>
  <c r="I40" i="1"/>
  <c r="I39" i="1" s="1"/>
  <c r="L974" i="5"/>
  <c r="L945" i="5" s="1"/>
  <c r="I48" i="1"/>
  <c r="L357" i="5"/>
  <c r="I55" i="1"/>
  <c r="L186" i="5"/>
  <c r="I34" i="1"/>
  <c r="L1102" i="5"/>
  <c r="L1101" i="5" s="1"/>
  <c r="L633" i="5"/>
  <c r="L632" i="5" s="1"/>
  <c r="I43" i="1"/>
  <c r="I41" i="1" s="1"/>
  <c r="L141" i="5"/>
  <c r="I28" i="1"/>
  <c r="I27" i="1" s="1"/>
  <c r="L538" i="5"/>
  <c r="I36" i="1"/>
  <c r="K107" i="6"/>
  <c r="L1118" i="5"/>
  <c r="L1191" i="5"/>
  <c r="I37" i="1"/>
  <c r="K912" i="6"/>
  <c r="I173" i="6"/>
  <c r="J173" i="6" s="1"/>
  <c r="L173" i="6" s="1"/>
  <c r="N173" i="6" s="1"/>
  <c r="H898" i="6"/>
  <c r="J898" i="6" s="1"/>
  <c r="L898" i="6" s="1"/>
  <c r="N898" i="6" s="1"/>
  <c r="I800" i="6"/>
  <c r="J800" i="6" s="1"/>
  <c r="L800" i="6" s="1"/>
  <c r="N800" i="6" s="1"/>
  <c r="I94" i="6"/>
  <c r="A94" i="6"/>
  <c r="A800" i="6"/>
  <c r="K17" i="6" l="1"/>
  <c r="K1464" i="6" s="1"/>
  <c r="K1466" i="6" s="1"/>
  <c r="I53" i="1"/>
  <c r="L18" i="5"/>
  <c r="L1100" i="5"/>
  <c r="I26" i="1"/>
  <c r="I19" i="1" s="1"/>
  <c r="L489" i="5"/>
  <c r="I35" i="1"/>
  <c r="I32" i="1"/>
  <c r="I29" i="1" s="1"/>
  <c r="I92" i="6"/>
  <c r="J92" i="6" s="1"/>
  <c r="L92" i="6" s="1"/>
  <c r="N92" i="6" s="1"/>
  <c r="J94" i="6"/>
  <c r="L94" i="6" s="1"/>
  <c r="N94" i="6" s="1"/>
  <c r="I172" i="6"/>
  <c r="J172" i="6" s="1"/>
  <c r="L172" i="6" s="1"/>
  <c r="N172" i="6" s="1"/>
  <c r="I106" i="6"/>
  <c r="I1334" i="6"/>
  <c r="J1334" i="6" s="1"/>
  <c r="L1334" i="6" s="1"/>
  <c r="N1334" i="6" s="1"/>
  <c r="A1334" i="6"/>
  <c r="A106" i="6"/>
  <c r="A1335" i="6"/>
  <c r="A1332" i="6"/>
  <c r="L1323" i="5" l="1"/>
  <c r="L1325" i="5" s="1"/>
  <c r="I66" i="1"/>
  <c r="I68" i="1" s="1"/>
  <c r="I1333" i="6"/>
  <c r="J1333" i="6" s="1"/>
  <c r="L1333" i="6" s="1"/>
  <c r="N1333" i="6" s="1"/>
  <c r="I104" i="6"/>
  <c r="J104" i="6" s="1"/>
  <c r="L104" i="6" s="1"/>
  <c r="N104" i="6" s="1"/>
  <c r="J106" i="6"/>
  <c r="L106" i="6" s="1"/>
  <c r="N106" i="6" s="1"/>
  <c r="J795" i="5"/>
  <c r="K795" i="5" s="1"/>
  <c r="M795" i="5" s="1"/>
  <c r="O795" i="5" s="1"/>
  <c r="J651" i="5"/>
  <c r="K651" i="5" s="1"/>
  <c r="M651" i="5" s="1"/>
  <c r="O651" i="5" s="1"/>
  <c r="J659" i="5"/>
  <c r="K659" i="5" s="1"/>
  <c r="M659" i="5" s="1"/>
  <c r="O659" i="5" s="1"/>
  <c r="I91" i="6"/>
  <c r="J91" i="6" s="1"/>
  <c r="L91" i="6" s="1"/>
  <c r="N91" i="6" s="1"/>
  <c r="A102" i="6"/>
  <c r="A93" i="6"/>
  <c r="A92" i="6"/>
  <c r="A796" i="5"/>
  <c r="A795" i="5"/>
  <c r="A101" i="6"/>
  <c r="A661" i="5"/>
  <c r="A89" i="6"/>
  <c r="A90" i="6"/>
  <c r="A104" i="6"/>
  <c r="A105" i="6"/>
  <c r="A653" i="5"/>
  <c r="A794" i="5"/>
  <c r="L1328" i="5" l="1"/>
  <c r="K1469" i="6"/>
  <c r="I1332" i="6"/>
  <c r="J1332" i="6" s="1"/>
  <c r="L1332" i="6" s="1"/>
  <c r="N1332" i="6" s="1"/>
  <c r="I103" i="6"/>
  <c r="J103" i="6" s="1"/>
  <c r="L103" i="6" s="1"/>
  <c r="N103" i="6" s="1"/>
  <c r="J794" i="5"/>
  <c r="K794" i="5" s="1"/>
  <c r="M794" i="5" s="1"/>
  <c r="O794" i="5" s="1"/>
  <c r="I90" i="6"/>
  <c r="J90" i="6" s="1"/>
  <c r="L90" i="6" s="1"/>
  <c r="N90" i="6" s="1"/>
  <c r="J650" i="5"/>
  <c r="K650" i="5" s="1"/>
  <c r="M650" i="5" s="1"/>
  <c r="O650" i="5" s="1"/>
  <c r="J658" i="5"/>
  <c r="K658" i="5" s="1"/>
  <c r="M658" i="5" s="1"/>
  <c r="O658" i="5" s="1"/>
  <c r="A651" i="5"/>
  <c r="A658" i="5"/>
  <c r="A659" i="5"/>
  <c r="A650" i="5"/>
  <c r="A652" i="5"/>
  <c r="A660" i="5"/>
  <c r="I1331" i="6" l="1"/>
  <c r="J1331" i="6" s="1"/>
  <c r="L1331" i="6" s="1"/>
  <c r="N1331" i="6" s="1"/>
  <c r="I102" i="6"/>
  <c r="J102" i="6" s="1"/>
  <c r="L102" i="6" s="1"/>
  <c r="N102" i="6" s="1"/>
  <c r="I89" i="6"/>
  <c r="J89" i="6" s="1"/>
  <c r="L89" i="6" s="1"/>
  <c r="N89" i="6" s="1"/>
  <c r="J512" i="5"/>
  <c r="A513" i="5"/>
  <c r="I101" i="6" l="1"/>
  <c r="J101" i="6" s="1"/>
  <c r="L101" i="6" s="1"/>
  <c r="N101" i="6" s="1"/>
  <c r="J1245" i="5"/>
  <c r="A96" i="6"/>
  <c r="A99" i="6"/>
  <c r="A98" i="6"/>
  <c r="A100" i="6"/>
  <c r="A95" i="6"/>
  <c r="J657" i="5" l="1"/>
  <c r="J656" i="5"/>
  <c r="A655" i="5"/>
  <c r="A656" i="5"/>
  <c r="A654" i="5"/>
  <c r="A657" i="5"/>
  <c r="I100" i="6" l="1"/>
  <c r="J100" i="6" s="1"/>
  <c r="L100" i="6" s="1"/>
  <c r="N100" i="6" s="1"/>
  <c r="K657" i="5"/>
  <c r="M657" i="5" s="1"/>
  <c r="O657" i="5" s="1"/>
  <c r="I99" i="6"/>
  <c r="J99" i="6" s="1"/>
  <c r="L99" i="6" s="1"/>
  <c r="N99" i="6" s="1"/>
  <c r="K656" i="5"/>
  <c r="M656" i="5" s="1"/>
  <c r="O656" i="5" s="1"/>
  <c r="J655" i="5"/>
  <c r="I1330" i="6"/>
  <c r="J1330" i="6" s="1"/>
  <c r="L1330" i="6" s="1"/>
  <c r="N1330" i="6" s="1"/>
  <c r="A1330" i="6"/>
  <c r="A1327" i="6"/>
  <c r="A1329" i="6"/>
  <c r="A1324" i="6"/>
  <c r="I98" i="6" l="1"/>
  <c r="J98" i="6" s="1"/>
  <c r="L98" i="6" s="1"/>
  <c r="N98" i="6" s="1"/>
  <c r="J654" i="5"/>
  <c r="K654" i="5" s="1"/>
  <c r="M654" i="5" s="1"/>
  <c r="O654" i="5" s="1"/>
  <c r="K655" i="5"/>
  <c r="M655" i="5" s="1"/>
  <c r="O655" i="5" s="1"/>
  <c r="I1329" i="6"/>
  <c r="J792" i="5"/>
  <c r="K792" i="5" s="1"/>
  <c r="M792" i="5" s="1"/>
  <c r="O792" i="5" s="1"/>
  <c r="A793" i="5"/>
  <c r="A788" i="5"/>
  <c r="A790" i="5"/>
  <c r="A791" i="5"/>
  <c r="A792" i="5"/>
  <c r="A789" i="5"/>
  <c r="J791" i="5" l="1"/>
  <c r="J790" i="5" s="1"/>
  <c r="K790" i="5" s="1"/>
  <c r="M790" i="5" s="1"/>
  <c r="O790" i="5" s="1"/>
  <c r="I97" i="6"/>
  <c r="J97" i="6" s="1"/>
  <c r="L97" i="6" s="1"/>
  <c r="N97" i="6" s="1"/>
  <c r="I1328" i="6"/>
  <c r="J1328" i="6" s="1"/>
  <c r="L1328" i="6" s="1"/>
  <c r="N1328" i="6" s="1"/>
  <c r="J1329" i="6"/>
  <c r="L1329" i="6" s="1"/>
  <c r="N1329" i="6" s="1"/>
  <c r="K791" i="5" l="1"/>
  <c r="M791" i="5" s="1"/>
  <c r="O791" i="5" s="1"/>
  <c r="I1327" i="6"/>
  <c r="I1326" i="6" s="1"/>
  <c r="I96" i="6"/>
  <c r="J96" i="6" s="1"/>
  <c r="L96" i="6" s="1"/>
  <c r="N96" i="6" s="1"/>
  <c r="J789" i="5"/>
  <c r="K789" i="5" s="1"/>
  <c r="M789" i="5" s="1"/>
  <c r="O789" i="5" s="1"/>
  <c r="I1392" i="6"/>
  <c r="A1393" i="6"/>
  <c r="A1390" i="6"/>
  <c r="A1392" i="6"/>
  <c r="A1389" i="6"/>
  <c r="J1327" i="6" l="1"/>
  <c r="L1327" i="6" s="1"/>
  <c r="N1327" i="6" s="1"/>
  <c r="I95" i="6"/>
  <c r="J95" i="6" s="1"/>
  <c r="L95" i="6" s="1"/>
  <c r="N95" i="6" s="1"/>
  <c r="I1391" i="6"/>
  <c r="J1391" i="6" s="1"/>
  <c r="L1391" i="6" s="1"/>
  <c r="N1391" i="6" s="1"/>
  <c r="J1392" i="6"/>
  <c r="L1392" i="6" s="1"/>
  <c r="N1392" i="6" s="1"/>
  <c r="I1325" i="6"/>
  <c r="J1326" i="6"/>
  <c r="L1326" i="6" s="1"/>
  <c r="N1326" i="6" s="1"/>
  <c r="J788" i="5"/>
  <c r="K788" i="5" s="1"/>
  <c r="M788" i="5" s="1"/>
  <c r="O788" i="5" s="1"/>
  <c r="I1390" i="6" l="1"/>
  <c r="J1390" i="6" s="1"/>
  <c r="L1390" i="6" s="1"/>
  <c r="N1390" i="6" s="1"/>
  <c r="I1324" i="6"/>
  <c r="J1324" i="6" s="1"/>
  <c r="L1324" i="6" s="1"/>
  <c r="N1324" i="6" s="1"/>
  <c r="J1325" i="6"/>
  <c r="L1325" i="6" s="1"/>
  <c r="N1325" i="6" s="1"/>
  <c r="J265" i="5"/>
  <c r="A259" i="5"/>
  <c r="A265" i="5"/>
  <c r="A262" i="5"/>
  <c r="A263" i="5"/>
  <c r="A264" i="5"/>
  <c r="A266" i="5"/>
  <c r="A261" i="5"/>
  <c r="I1389" i="6" l="1"/>
  <c r="J1389" i="6" s="1"/>
  <c r="L1389" i="6" s="1"/>
  <c r="N1389" i="6" s="1"/>
  <c r="J264" i="5"/>
  <c r="K264" i="5" s="1"/>
  <c r="M264" i="5" s="1"/>
  <c r="O264" i="5" s="1"/>
  <c r="K265" i="5"/>
  <c r="M265" i="5" s="1"/>
  <c r="O265" i="5" s="1"/>
  <c r="J263" i="5" l="1"/>
  <c r="K263" i="5" s="1"/>
  <c r="M263" i="5" s="1"/>
  <c r="O263" i="5" s="1"/>
  <c r="J262" i="5" l="1"/>
  <c r="K262" i="5" s="1"/>
  <c r="M262" i="5" s="1"/>
  <c r="O262" i="5" s="1"/>
  <c r="I718" i="6"/>
  <c r="J718" i="6" s="1"/>
  <c r="L718" i="6" s="1"/>
  <c r="N718" i="6" s="1"/>
  <c r="A718" i="6"/>
  <c r="A717" i="6"/>
  <c r="A715" i="6"/>
  <c r="A714" i="6"/>
  <c r="J261" i="5" l="1"/>
  <c r="K261" i="5" s="1"/>
  <c r="M261" i="5" s="1"/>
  <c r="O261" i="5" s="1"/>
  <c r="I717" i="6"/>
  <c r="J717" i="6" s="1"/>
  <c r="L717" i="6" s="1"/>
  <c r="N717" i="6" s="1"/>
  <c r="J402" i="5"/>
  <c r="K402" i="5" s="1"/>
  <c r="M402" i="5" s="1"/>
  <c r="O402" i="5" s="1"/>
  <c r="A402" i="5"/>
  <c r="A403" i="5"/>
  <c r="A401" i="5"/>
  <c r="J260" i="5" l="1"/>
  <c r="K260" i="5" s="1"/>
  <c r="M260" i="5" s="1"/>
  <c r="O260" i="5" s="1"/>
  <c r="J401" i="5"/>
  <c r="K401" i="5" s="1"/>
  <c r="M401" i="5" s="1"/>
  <c r="O401" i="5" s="1"/>
  <c r="I716" i="6"/>
  <c r="J716" i="6" s="1"/>
  <c r="L716" i="6" s="1"/>
  <c r="N716" i="6" s="1"/>
  <c r="J400" i="5"/>
  <c r="I713" i="6" s="1"/>
  <c r="I712" i="6" s="1"/>
  <c r="I711" i="6" s="1"/>
  <c r="I710" i="6" s="1"/>
  <c r="I709" i="6" s="1"/>
  <c r="I1012" i="6"/>
  <c r="I1011" i="6" s="1"/>
  <c r="I1010" i="6" s="1"/>
  <c r="J1149" i="5"/>
  <c r="J1148" i="5" s="1"/>
  <c r="I1465" i="6"/>
  <c r="I1463" i="6"/>
  <c r="I1462" i="6" s="1"/>
  <c r="I1461" i="6" s="1"/>
  <c r="I1460" i="6" s="1"/>
  <c r="I1459" i="6"/>
  <c r="I1458" i="6" s="1"/>
  <c r="I1457" i="6"/>
  <c r="I1456" i="6" s="1"/>
  <c r="I1452" i="6"/>
  <c r="I1451" i="6" s="1"/>
  <c r="I1450" i="6" s="1"/>
  <c r="I1449" i="6" s="1"/>
  <c r="I1448" i="6" s="1"/>
  <c r="I1446" i="6"/>
  <c r="I1445" i="6" s="1"/>
  <c r="I1444" i="6" s="1"/>
  <c r="I1443" i="6" s="1"/>
  <c r="I1442" i="6" s="1"/>
  <c r="I1441" i="6" s="1"/>
  <c r="I1440" i="6"/>
  <c r="I1439" i="6" s="1"/>
  <c r="I1438" i="6" s="1"/>
  <c r="I1437" i="6" s="1"/>
  <c r="I1436" i="6" s="1"/>
  <c r="I1435" i="6"/>
  <c r="I1434" i="6" s="1"/>
  <c r="I1433" i="6" s="1"/>
  <c r="I1432" i="6" s="1"/>
  <c r="I1431" i="6"/>
  <c r="I1430" i="6" s="1"/>
  <c r="I1429" i="6" s="1"/>
  <c r="I1428" i="6" s="1"/>
  <c r="I1425" i="6"/>
  <c r="I1424" i="6" s="1"/>
  <c r="I1423" i="6" s="1"/>
  <c r="I1422" i="6" s="1"/>
  <c r="I1421" i="6"/>
  <c r="I1420" i="6" s="1"/>
  <c r="I1419" i="6"/>
  <c r="I1418" i="6" s="1"/>
  <c r="I1413" i="6"/>
  <c r="I1412" i="6" s="1"/>
  <c r="I1411" i="6" s="1"/>
  <c r="I1410" i="6" s="1"/>
  <c r="I1409" i="6"/>
  <c r="I1408" i="6" s="1"/>
  <c r="I1407" i="6"/>
  <c r="I1406" i="6" s="1"/>
  <c r="I1405" i="6"/>
  <c r="I1404" i="6" s="1"/>
  <c r="I1388" i="6"/>
  <c r="I1387" i="6" s="1"/>
  <c r="I1386" i="6" s="1"/>
  <c r="I1385" i="6" s="1"/>
  <c r="I1384" i="6" s="1"/>
  <c r="I1383" i="6"/>
  <c r="I1382" i="6" s="1"/>
  <c r="I1381" i="6" s="1"/>
  <c r="I1380" i="6" s="1"/>
  <c r="I1379" i="6" s="1"/>
  <c r="I1378" i="6"/>
  <c r="I1377" i="6" s="1"/>
  <c r="I1376" i="6"/>
  <c r="I1375" i="6" s="1"/>
  <c r="I1371" i="6"/>
  <c r="I1370" i="6" s="1"/>
  <c r="I1369" i="6" s="1"/>
  <c r="I1368" i="6" s="1"/>
  <c r="I1367" i="6" s="1"/>
  <c r="I1366" i="6"/>
  <c r="I1365" i="6" s="1"/>
  <c r="I1364" i="6" s="1"/>
  <c r="I1363" i="6" s="1"/>
  <c r="I1362" i="6"/>
  <c r="I1361" i="6" s="1"/>
  <c r="I1360" i="6"/>
  <c r="I1359" i="6" s="1"/>
  <c r="I1357" i="6"/>
  <c r="I1356" i="6" s="1"/>
  <c r="I1355" i="6"/>
  <c r="I1354" i="6" s="1"/>
  <c r="I1349" i="6"/>
  <c r="I1348" i="6" s="1"/>
  <c r="I1347" i="6" s="1"/>
  <c r="I1346" i="6" s="1"/>
  <c r="I1345" i="6" s="1"/>
  <c r="I1344" i="6" s="1"/>
  <c r="I1341" i="6"/>
  <c r="I1340" i="6" s="1"/>
  <c r="I1339" i="6" s="1"/>
  <c r="I1338" i="6" s="1"/>
  <c r="I1337" i="6" s="1"/>
  <c r="I1336" i="6" s="1"/>
  <c r="I1323" i="6"/>
  <c r="I1322" i="6" s="1"/>
  <c r="I1321" i="6" s="1"/>
  <c r="I1320" i="6" s="1"/>
  <c r="I1319" i="6" s="1"/>
  <c r="I1318" i="6"/>
  <c r="I1317" i="6" s="1"/>
  <c r="I1316" i="6" s="1"/>
  <c r="I1315" i="6" s="1"/>
  <c r="I1314" i="6"/>
  <c r="I1313" i="6" s="1"/>
  <c r="I1312" i="6" s="1"/>
  <c r="I1311" i="6" s="1"/>
  <c r="I1310" i="6"/>
  <c r="I1309" i="6" s="1"/>
  <c r="I1308" i="6" s="1"/>
  <c r="I1307" i="6" s="1"/>
  <c r="I1306" i="6"/>
  <c r="I1305" i="6" s="1"/>
  <c r="I1304" i="6"/>
  <c r="I1303" i="6" s="1"/>
  <c r="I1302" i="6"/>
  <c r="I1301" i="6" s="1"/>
  <c r="I1298" i="6"/>
  <c r="I1297" i="6" s="1"/>
  <c r="I1296" i="6" s="1"/>
  <c r="I1295" i="6" s="1"/>
  <c r="I1293" i="6"/>
  <c r="I1292" i="6" s="1"/>
  <c r="I1291" i="6" s="1"/>
  <c r="I1290" i="6" s="1"/>
  <c r="I1289" i="6" s="1"/>
  <c r="I1281" i="6"/>
  <c r="I1280" i="6" s="1"/>
  <c r="I1279" i="6" s="1"/>
  <c r="I1278" i="6" s="1"/>
  <c r="I1277" i="6" s="1"/>
  <c r="I1276" i="6"/>
  <c r="I1275" i="6" s="1"/>
  <c r="I1274" i="6"/>
  <c r="I1273" i="6" s="1"/>
  <c r="I1272" i="6"/>
  <c r="I1271" i="6" s="1"/>
  <c r="I1268" i="6"/>
  <c r="I1267" i="6" s="1"/>
  <c r="I1266" i="6" s="1"/>
  <c r="I1265" i="6" s="1"/>
  <c r="I1263" i="6"/>
  <c r="I1262" i="6" s="1"/>
  <c r="I1261" i="6" s="1"/>
  <c r="I1260" i="6" s="1"/>
  <c r="I1259" i="6" s="1"/>
  <c r="I1258" i="6"/>
  <c r="I1257" i="6" s="1"/>
  <c r="I1256" i="6" s="1"/>
  <c r="I1255" i="6" s="1"/>
  <c r="I1254" i="6" s="1"/>
  <c r="I1252" i="6"/>
  <c r="I1251" i="6" s="1"/>
  <c r="I1250" i="6" s="1"/>
  <c r="I1249" i="6" s="1"/>
  <c r="I1248" i="6" s="1"/>
  <c r="I1247" i="6"/>
  <c r="I1246" i="6" s="1"/>
  <c r="I1245" i="6" s="1"/>
  <c r="I1244" i="6" s="1"/>
  <c r="I1243" i="6"/>
  <c r="I1242" i="6" s="1"/>
  <c r="I1241" i="6" s="1"/>
  <c r="I1240" i="6" s="1"/>
  <c r="I1237" i="6"/>
  <c r="I1236" i="6" s="1"/>
  <c r="I1235" i="6" s="1"/>
  <c r="I1234" i="6" s="1"/>
  <c r="I1233" i="6" s="1"/>
  <c r="I1231" i="6"/>
  <c r="I1230" i="6" s="1"/>
  <c r="I1229" i="6" s="1"/>
  <c r="I1228" i="6" s="1"/>
  <c r="I1227" i="6" s="1"/>
  <c r="I1226" i="6" s="1"/>
  <c r="I1223" i="6"/>
  <c r="I1222" i="6" s="1"/>
  <c r="I1221" i="6" s="1"/>
  <c r="I1220" i="6" s="1"/>
  <c r="I1219" i="6"/>
  <c r="I1218" i="6" s="1"/>
  <c r="I1217" i="6" s="1"/>
  <c r="I1216" i="6" s="1"/>
  <c r="I1214" i="6"/>
  <c r="I1213" i="6" s="1"/>
  <c r="I1212" i="6" s="1"/>
  <c r="I1211" i="6" s="1"/>
  <c r="I1210" i="6"/>
  <c r="I1209" i="6" s="1"/>
  <c r="I1208" i="6" s="1"/>
  <c r="I1207" i="6" s="1"/>
  <c r="I1204" i="6"/>
  <c r="I1203" i="6" s="1"/>
  <c r="I1202" i="6" s="1"/>
  <c r="I1201" i="6" s="1"/>
  <c r="I1200" i="6"/>
  <c r="I1199" i="6" s="1"/>
  <c r="I1198" i="6"/>
  <c r="I1197" i="6" s="1"/>
  <c r="I1196" i="6"/>
  <c r="I1195" i="6" s="1"/>
  <c r="I1191" i="6"/>
  <c r="I1190" i="6" s="1"/>
  <c r="I1189" i="6" s="1"/>
  <c r="I1188" i="6" s="1"/>
  <c r="I1187" i="6" s="1"/>
  <c r="I1184" i="6"/>
  <c r="I1183" i="6" s="1"/>
  <c r="I1182" i="6" s="1"/>
  <c r="I1181" i="6" s="1"/>
  <c r="I1180" i="6" s="1"/>
  <c r="I1179" i="6"/>
  <c r="I1178" i="6" s="1"/>
  <c r="I1177" i="6" s="1"/>
  <c r="I1176" i="6" s="1"/>
  <c r="I1175" i="6" s="1"/>
  <c r="I1173" i="6"/>
  <c r="I1172" i="6" s="1"/>
  <c r="I1171" i="6" s="1"/>
  <c r="I1170" i="6" s="1"/>
  <c r="I1169" i="6" s="1"/>
  <c r="I1167" i="6"/>
  <c r="I1166" i="6" s="1"/>
  <c r="I1165" i="6" s="1"/>
  <c r="I1164" i="6" s="1"/>
  <c r="I1163" i="6"/>
  <c r="I1162" i="6" s="1"/>
  <c r="I1161" i="6"/>
  <c r="I1160" i="6" s="1"/>
  <c r="I1156" i="6"/>
  <c r="I1155" i="6" s="1"/>
  <c r="I1154" i="6" s="1"/>
  <c r="I1153" i="6" s="1"/>
  <c r="I1152" i="6" s="1"/>
  <c r="I1150" i="6"/>
  <c r="I1149" i="6" s="1"/>
  <c r="I1148" i="6" s="1"/>
  <c r="I1147" i="6" s="1"/>
  <c r="I1146" i="6" s="1"/>
  <c r="I1145" i="6"/>
  <c r="I1144" i="6" s="1"/>
  <c r="I1143" i="6" s="1"/>
  <c r="I1142" i="6"/>
  <c r="I1141" i="6" s="1"/>
  <c r="I1140" i="6" s="1"/>
  <c r="I1138" i="6"/>
  <c r="I1137" i="6" s="1"/>
  <c r="I1136" i="6" s="1"/>
  <c r="I1135" i="6" s="1"/>
  <c r="I1133" i="6"/>
  <c r="I1132" i="6" s="1"/>
  <c r="I1131" i="6" s="1"/>
  <c r="I1130" i="6" s="1"/>
  <c r="I1129" i="6"/>
  <c r="I1128" i="6" s="1"/>
  <c r="I1127" i="6" s="1"/>
  <c r="I1126" i="6" s="1"/>
  <c r="I1124" i="6"/>
  <c r="I1123" i="6" s="1"/>
  <c r="I1122" i="6" s="1"/>
  <c r="I1121" i="6"/>
  <c r="I1120" i="6" s="1"/>
  <c r="I1119" i="6" s="1"/>
  <c r="I1116" i="6"/>
  <c r="I1115" i="6" s="1"/>
  <c r="I1114" i="6" s="1"/>
  <c r="I1113" i="6" s="1"/>
  <c r="I1112" i="6"/>
  <c r="I1111" i="6" s="1"/>
  <c r="I1110" i="6" s="1"/>
  <c r="I1109" i="6" s="1"/>
  <c r="I1107" i="6"/>
  <c r="I1106" i="6" s="1"/>
  <c r="I1105" i="6" s="1"/>
  <c r="I1104" i="6" s="1"/>
  <c r="I1103" i="6"/>
  <c r="I1102" i="6" s="1"/>
  <c r="I1101" i="6" s="1"/>
  <c r="I1100" i="6"/>
  <c r="I1099" i="6" s="1"/>
  <c r="I1098" i="6" s="1"/>
  <c r="I1097" i="6"/>
  <c r="I1096" i="6"/>
  <c r="I1092" i="6"/>
  <c r="I1091" i="6" s="1"/>
  <c r="I1090" i="6" s="1"/>
  <c r="I1089" i="6" s="1"/>
  <c r="I1086" i="6"/>
  <c r="I1085" i="6" s="1"/>
  <c r="I1084" i="6" s="1"/>
  <c r="I1083" i="6" s="1"/>
  <c r="I1082" i="6"/>
  <c r="I1081" i="6" s="1"/>
  <c r="I1080" i="6" s="1"/>
  <c r="I1079" i="6" s="1"/>
  <c r="I1077" i="6"/>
  <c r="I1076" i="6" s="1"/>
  <c r="I1075" i="6" s="1"/>
  <c r="I1074" i="6" s="1"/>
  <c r="I1073" i="6"/>
  <c r="I1072" i="6" s="1"/>
  <c r="I1071" i="6"/>
  <c r="I1070" i="6" s="1"/>
  <c r="I1069" i="6"/>
  <c r="I1068" i="6" s="1"/>
  <c r="I1063" i="6"/>
  <c r="I1062" i="6" s="1"/>
  <c r="I1061" i="6" s="1"/>
  <c r="I1060" i="6" s="1"/>
  <c r="I1059" i="6"/>
  <c r="I1058" i="6" s="1"/>
  <c r="I1057" i="6"/>
  <c r="I1056" i="6" s="1"/>
  <c r="I1055" i="6"/>
  <c r="I1054" i="6" s="1"/>
  <c r="I1040" i="6"/>
  <c r="I1039" i="6" s="1"/>
  <c r="I1038" i="6" s="1"/>
  <c r="I1037" i="6" s="1"/>
  <c r="I1036" i="6" s="1"/>
  <c r="I1035" i="6"/>
  <c r="I1034" i="6" s="1"/>
  <c r="I1033" i="6" s="1"/>
  <c r="I1032" i="6" s="1"/>
  <c r="I1031" i="6" s="1"/>
  <c r="I1030" i="6"/>
  <c r="I1029" i="6" s="1"/>
  <c r="I1028" i="6" s="1"/>
  <c r="I1027" i="6" s="1"/>
  <c r="I1026" i="6"/>
  <c r="I1025" i="6" s="1"/>
  <c r="I1024" i="6" s="1"/>
  <c r="I1023" i="6"/>
  <c r="I1018" i="6"/>
  <c r="I1017" i="6" s="1"/>
  <c r="I1016" i="6" s="1"/>
  <c r="I1015" i="6"/>
  <c r="I1014" i="6" s="1"/>
  <c r="I1013" i="6" s="1"/>
  <c r="I1008" i="6"/>
  <c r="I992" i="6"/>
  <c r="I991" i="6" s="1"/>
  <c r="I990" i="6" s="1"/>
  <c r="I989" i="6" s="1"/>
  <c r="I988" i="6" s="1"/>
  <c r="I987" i="6"/>
  <c r="I986" i="6" s="1"/>
  <c r="I985" i="6" s="1"/>
  <c r="I984" i="6" s="1"/>
  <c r="I983" i="6" s="1"/>
  <c r="I981" i="6"/>
  <c r="I980" i="6" s="1"/>
  <c r="I979" i="6" s="1"/>
  <c r="I978" i="6" s="1"/>
  <c r="I977" i="6" s="1"/>
  <c r="I976" i="6"/>
  <c r="I975" i="6" s="1"/>
  <c r="I974" i="6" s="1"/>
  <c r="I973" i="6" s="1"/>
  <c r="I972" i="6" s="1"/>
  <c r="I971" i="6"/>
  <c r="I970" i="6" s="1"/>
  <c r="I969" i="6" s="1"/>
  <c r="I968" i="6" s="1"/>
  <c r="I967" i="6" s="1"/>
  <c r="I966" i="6"/>
  <c r="I965" i="6" s="1"/>
  <c r="I964" i="6" s="1"/>
  <c r="I963" i="6" s="1"/>
  <c r="I962" i="6" s="1"/>
  <c r="I956" i="6"/>
  <c r="I955" i="6" s="1"/>
  <c r="I954" i="6" s="1"/>
  <c r="I953" i="6" s="1"/>
  <c r="I952" i="6" s="1"/>
  <c r="I951" i="6"/>
  <c r="I950" i="6" s="1"/>
  <c r="I949" i="6" s="1"/>
  <c r="I948" i="6" s="1"/>
  <c r="I947" i="6" s="1"/>
  <c r="I946" i="6"/>
  <c r="I945" i="6" s="1"/>
  <c r="I944" i="6" s="1"/>
  <c r="I943" i="6" s="1"/>
  <c r="I942" i="6" s="1"/>
  <c r="I941" i="6"/>
  <c r="I940" i="6" s="1"/>
  <c r="I939" i="6" s="1"/>
  <c r="I938" i="6" s="1"/>
  <c r="I937" i="6" s="1"/>
  <c r="I936" i="6"/>
  <c r="I935" i="6" s="1"/>
  <c r="I934" i="6" s="1"/>
  <c r="I933" i="6"/>
  <c r="I932" i="6" s="1"/>
  <c r="I931" i="6" s="1"/>
  <c r="I929" i="6"/>
  <c r="I928" i="6" s="1"/>
  <c r="I927" i="6" s="1"/>
  <c r="I926" i="6"/>
  <c r="I925" i="6" s="1"/>
  <c r="I924" i="6" s="1"/>
  <c r="I922" i="6"/>
  <c r="I921" i="6" s="1"/>
  <c r="I920" i="6" s="1"/>
  <c r="I919" i="6" s="1"/>
  <c r="I918" i="6"/>
  <c r="I917" i="6" s="1"/>
  <c r="I916" i="6" s="1"/>
  <c r="I915" i="6" s="1"/>
  <c r="I911" i="6"/>
  <c r="I910" i="6" s="1"/>
  <c r="I909" i="6"/>
  <c r="I908" i="6" s="1"/>
  <c r="I903" i="6"/>
  <c r="I902" i="6" s="1"/>
  <c r="I901" i="6" s="1"/>
  <c r="I900" i="6" s="1"/>
  <c r="I899" i="6" s="1"/>
  <c r="I897" i="6"/>
  <c r="I896" i="6" s="1"/>
  <c r="I895" i="6"/>
  <c r="I894" i="6" s="1"/>
  <c r="I890" i="6"/>
  <c r="I889" i="6" s="1"/>
  <c r="I888" i="6" s="1"/>
  <c r="I887" i="6" s="1"/>
  <c r="I886" i="6"/>
  <c r="I885" i="6" s="1"/>
  <c r="I884" i="6" s="1"/>
  <c r="I883" i="6" s="1"/>
  <c r="I882" i="6"/>
  <c r="I881" i="6" s="1"/>
  <c r="I880" i="6" s="1"/>
  <c r="I879" i="6"/>
  <c r="I878" i="6" s="1"/>
  <c r="I877" i="6" s="1"/>
  <c r="I875" i="6"/>
  <c r="I874" i="6" s="1"/>
  <c r="I873" i="6" s="1"/>
  <c r="I872" i="6" s="1"/>
  <c r="I864" i="6"/>
  <c r="I863" i="6" s="1"/>
  <c r="I862" i="6" s="1"/>
  <c r="I861" i="6" s="1"/>
  <c r="I860" i="6" s="1"/>
  <c r="I859" i="6"/>
  <c r="I858" i="6" s="1"/>
  <c r="I857" i="6" s="1"/>
  <c r="I856" i="6" s="1"/>
  <c r="I855" i="6" s="1"/>
  <c r="I854" i="6"/>
  <c r="I853" i="6" s="1"/>
  <c r="I852" i="6" s="1"/>
  <c r="I851" i="6" s="1"/>
  <c r="I850" i="6" s="1"/>
  <c r="I849" i="6"/>
  <c r="I848" i="6" s="1"/>
  <c r="I847" i="6" s="1"/>
  <c r="I846" i="6" s="1"/>
  <c r="I845" i="6" s="1"/>
  <c r="I843" i="6"/>
  <c r="I842" i="6" s="1"/>
  <c r="I841" i="6" s="1"/>
  <c r="I840" i="6" s="1"/>
  <c r="I839" i="6" s="1"/>
  <c r="I838" i="6" s="1"/>
  <c r="I837" i="6"/>
  <c r="I836" i="6" s="1"/>
  <c r="I835" i="6" s="1"/>
  <c r="I834" i="6" s="1"/>
  <c r="I833" i="6" s="1"/>
  <c r="I832" i="6"/>
  <c r="I831" i="6" s="1"/>
  <c r="I830" i="6" s="1"/>
  <c r="I829" i="6" s="1"/>
  <c r="I828" i="6" s="1"/>
  <c r="I827" i="6" s="1"/>
  <c r="I826" i="6"/>
  <c r="I825" i="6" s="1"/>
  <c r="I824" i="6" s="1"/>
  <c r="I823" i="6" s="1"/>
  <c r="I822" i="6" s="1"/>
  <c r="I821" i="6" s="1"/>
  <c r="I820" i="6"/>
  <c r="I819" i="6" s="1"/>
  <c r="I818" i="6" s="1"/>
  <c r="I817" i="6" s="1"/>
  <c r="I816" i="6"/>
  <c r="I815" i="6" s="1"/>
  <c r="I814" i="6" s="1"/>
  <c r="I813" i="6" s="1"/>
  <c r="I811" i="6"/>
  <c r="I810" i="6" s="1"/>
  <c r="I809" i="6" s="1"/>
  <c r="I808" i="6" s="1"/>
  <c r="I807" i="6" s="1"/>
  <c r="I806" i="6"/>
  <c r="I805" i="6" s="1"/>
  <c r="I804" i="6" s="1"/>
  <c r="I803" i="6" s="1"/>
  <c r="I802" i="6" s="1"/>
  <c r="I801" i="6"/>
  <c r="I799" i="6" s="1"/>
  <c r="I798" i="6"/>
  <c r="I797" i="6" s="1"/>
  <c r="I796" i="6"/>
  <c r="I795" i="6" s="1"/>
  <c r="I790" i="6"/>
  <c r="I789" i="6" s="1"/>
  <c r="I788" i="6"/>
  <c r="I787" i="6" s="1"/>
  <c r="I782" i="6"/>
  <c r="I781" i="6" s="1"/>
  <c r="I780" i="6"/>
  <c r="I779" i="6" s="1"/>
  <c r="I773" i="6"/>
  <c r="I772" i="6" s="1"/>
  <c r="I771" i="6"/>
  <c r="I770" i="6" s="1"/>
  <c r="I765" i="6"/>
  <c r="I764" i="6" s="1"/>
  <c r="I763" i="6" s="1"/>
  <c r="I762" i="6" s="1"/>
  <c r="I761" i="6" s="1"/>
  <c r="I759" i="6"/>
  <c r="I758" i="6" s="1"/>
  <c r="I757" i="6" s="1"/>
  <c r="I756" i="6" s="1"/>
  <c r="I755" i="6" s="1"/>
  <c r="I754" i="6" s="1"/>
  <c r="I753" i="6"/>
  <c r="I752" i="6" s="1"/>
  <c r="I751" i="6" s="1"/>
  <c r="I750" i="6" s="1"/>
  <c r="I749" i="6" s="1"/>
  <c r="I746" i="6"/>
  <c r="I745" i="6" s="1"/>
  <c r="I744" i="6" s="1"/>
  <c r="I743" i="6" s="1"/>
  <c r="I742" i="6" s="1"/>
  <c r="I741" i="6" s="1"/>
  <c r="I730" i="6"/>
  <c r="I729" i="6" s="1"/>
  <c r="I728" i="6" s="1"/>
  <c r="I727" i="6" s="1"/>
  <c r="I726" i="6" s="1"/>
  <c r="I725" i="6"/>
  <c r="I724" i="6" s="1"/>
  <c r="I723" i="6" s="1"/>
  <c r="I722" i="6" s="1"/>
  <c r="I721" i="6" s="1"/>
  <c r="I708" i="6"/>
  <c r="I707" i="6" s="1"/>
  <c r="I706" i="6" s="1"/>
  <c r="I705" i="6" s="1"/>
  <c r="I704" i="6" s="1"/>
  <c r="I701" i="6"/>
  <c r="I700" i="6" s="1"/>
  <c r="I699" i="6" s="1"/>
  <c r="I698" i="6" s="1"/>
  <c r="I697" i="6" s="1"/>
  <c r="I696" i="6"/>
  <c r="I695" i="6" s="1"/>
  <c r="I694" i="6"/>
  <c r="I693" i="6" s="1"/>
  <c r="I692" i="6"/>
  <c r="I691" i="6" s="1"/>
  <c r="I686" i="6"/>
  <c r="I685" i="6" s="1"/>
  <c r="I684" i="6" s="1"/>
  <c r="I683" i="6" s="1"/>
  <c r="I682" i="6" s="1"/>
  <c r="I681" i="6"/>
  <c r="I680" i="6" s="1"/>
  <c r="I679" i="6"/>
  <c r="I678" i="6" s="1"/>
  <c r="I674" i="6"/>
  <c r="I673" i="6" s="1"/>
  <c r="I672" i="6" s="1"/>
  <c r="I671" i="6" s="1"/>
  <c r="I670" i="6" s="1"/>
  <c r="I669" i="6" s="1"/>
  <c r="I668" i="6" s="1"/>
  <c r="I667" i="6"/>
  <c r="I666" i="6" s="1"/>
  <c r="I665" i="6" s="1"/>
  <c r="I664" i="6" s="1"/>
  <c r="I663" i="6" s="1"/>
  <c r="I662" i="6" s="1"/>
  <c r="I661" i="6" s="1"/>
  <c r="I660" i="6"/>
  <c r="I659" i="6" s="1"/>
  <c r="I658" i="6" s="1"/>
  <c r="I657" i="6" s="1"/>
  <c r="I656" i="6" s="1"/>
  <c r="I655" i="6" s="1"/>
  <c r="I654" i="6" s="1"/>
  <c r="I653" i="6"/>
  <c r="I652" i="6" s="1"/>
  <c r="I651" i="6" s="1"/>
  <c r="I650" i="6" s="1"/>
  <c r="I649" i="6" s="1"/>
  <c r="I648" i="6" s="1"/>
  <c r="I647" i="6" s="1"/>
  <c r="I646" i="6"/>
  <c r="I645" i="6" s="1"/>
  <c r="I644" i="6"/>
  <c r="I643" i="6" s="1"/>
  <c r="I639" i="6"/>
  <c r="I638" i="6" s="1"/>
  <c r="I637" i="6"/>
  <c r="I636" i="6" s="1"/>
  <c r="I631" i="6"/>
  <c r="I630" i="6" s="1"/>
  <c r="I629" i="6" s="1"/>
  <c r="I628" i="6" s="1"/>
  <c r="I627" i="6" s="1"/>
  <c r="I602" i="6"/>
  <c r="I601" i="6" s="1"/>
  <c r="I600" i="6" s="1"/>
  <c r="I599" i="6" s="1"/>
  <c r="I598" i="6" s="1"/>
  <c r="I597" i="6"/>
  <c r="I596" i="6" s="1"/>
  <c r="I595" i="6" s="1"/>
  <c r="I594" i="6" s="1"/>
  <c r="I593" i="6" s="1"/>
  <c r="I591" i="6"/>
  <c r="I590" i="6" s="1"/>
  <c r="I589" i="6" s="1"/>
  <c r="I588" i="6" s="1"/>
  <c r="I587" i="6"/>
  <c r="I586" i="6" s="1"/>
  <c r="I585" i="6" s="1"/>
  <c r="I584" i="6" s="1"/>
  <c r="I581" i="6"/>
  <c r="I580" i="6" s="1"/>
  <c r="I579" i="6" s="1"/>
  <c r="I578" i="6" s="1"/>
  <c r="I577" i="6" s="1"/>
  <c r="I576" i="6"/>
  <c r="I575" i="6"/>
  <c r="I569" i="6"/>
  <c r="I568" i="6" s="1"/>
  <c r="I567" i="6"/>
  <c r="I566" i="6" s="1"/>
  <c r="I565" i="6"/>
  <c r="I564" i="6" s="1"/>
  <c r="I562" i="6"/>
  <c r="I561" i="6" s="1"/>
  <c r="I560" i="6" s="1"/>
  <c r="I557" i="6"/>
  <c r="I556" i="6" s="1"/>
  <c r="I555" i="6" s="1"/>
  <c r="I554" i="6" s="1"/>
  <c r="I553" i="6" s="1"/>
  <c r="I552" i="6"/>
  <c r="I551" i="6" s="1"/>
  <c r="I550" i="6"/>
  <c r="I549" i="6" s="1"/>
  <c r="I544" i="6"/>
  <c r="I543" i="6" s="1"/>
  <c r="I542" i="6" s="1"/>
  <c r="I541" i="6" s="1"/>
  <c r="I540" i="6" s="1"/>
  <c r="I539" i="6"/>
  <c r="I538" i="6" s="1"/>
  <c r="I537" i="6" s="1"/>
  <c r="I536" i="6" s="1"/>
  <c r="I535" i="6" s="1"/>
  <c r="I534" i="6"/>
  <c r="I533" i="6" s="1"/>
  <c r="I532" i="6" s="1"/>
  <c r="I531" i="6" s="1"/>
  <c r="I530" i="6" s="1"/>
  <c r="I528" i="6"/>
  <c r="I527" i="6" s="1"/>
  <c r="I526" i="6" s="1"/>
  <c r="I525" i="6" s="1"/>
  <c r="I524" i="6" s="1"/>
  <c r="I523" i="6"/>
  <c r="I522" i="6" s="1"/>
  <c r="I521" i="6" s="1"/>
  <c r="I520" i="6" s="1"/>
  <c r="I519" i="6" s="1"/>
  <c r="I513" i="6"/>
  <c r="I512" i="6" s="1"/>
  <c r="I511" i="6" s="1"/>
  <c r="I510" i="6" s="1"/>
  <c r="I509" i="6" s="1"/>
  <c r="I508" i="6"/>
  <c r="I507" i="6" s="1"/>
  <c r="I506" i="6" s="1"/>
  <c r="I505" i="6" s="1"/>
  <c r="I504" i="6" s="1"/>
  <c r="I502" i="6"/>
  <c r="I501" i="6" s="1"/>
  <c r="I500" i="6" s="1"/>
  <c r="I499" i="6" s="1"/>
  <c r="I498" i="6" s="1"/>
  <c r="I496" i="6"/>
  <c r="I495" i="6" s="1"/>
  <c r="I494" i="6" s="1"/>
  <c r="I493" i="6" s="1"/>
  <c r="I492" i="6" s="1"/>
  <c r="I491" i="6" s="1"/>
  <c r="I490" i="6"/>
  <c r="I489" i="6" s="1"/>
  <c r="I488" i="6"/>
  <c r="I487" i="6" s="1"/>
  <c r="I483" i="6"/>
  <c r="I482" i="6" s="1"/>
  <c r="I481" i="6"/>
  <c r="I480" i="6" s="1"/>
  <c r="I475" i="6"/>
  <c r="I474" i="6" s="1"/>
  <c r="I473" i="6" s="1"/>
  <c r="I472" i="6" s="1"/>
  <c r="I471" i="6" s="1"/>
  <c r="I470" i="6"/>
  <c r="I469" i="6" s="1"/>
  <c r="I468" i="6" s="1"/>
  <c r="I467" i="6"/>
  <c r="I466" i="6" s="1"/>
  <c r="I465" i="6" s="1"/>
  <c r="I464" i="6"/>
  <c r="I463" i="6" s="1"/>
  <c r="I462" i="6" s="1"/>
  <c r="I458" i="6"/>
  <c r="I457" i="6" s="1"/>
  <c r="I456" i="6"/>
  <c r="I455" i="6" s="1"/>
  <c r="I451" i="6"/>
  <c r="I450" i="6" s="1"/>
  <c r="I449" i="6" s="1"/>
  <c r="I448" i="6" s="1"/>
  <c r="I447" i="6"/>
  <c r="I446" i="6" s="1"/>
  <c r="I445" i="6"/>
  <c r="I444" i="6" s="1"/>
  <c r="I443" i="6"/>
  <c r="I442" i="6" s="1"/>
  <c r="I436" i="6"/>
  <c r="I435" i="6" s="1"/>
  <c r="I434" i="6" s="1"/>
  <c r="I433" i="6" s="1"/>
  <c r="I432" i="6" s="1"/>
  <c r="I431" i="6"/>
  <c r="I430" i="6" s="1"/>
  <c r="I429" i="6"/>
  <c r="I428" i="6" s="1"/>
  <c r="I423" i="6"/>
  <c r="I422" i="6"/>
  <c r="I417" i="6"/>
  <c r="I416" i="6" s="1"/>
  <c r="I415" i="6"/>
  <c r="I414" i="6" s="1"/>
  <c r="I410" i="6"/>
  <c r="I409" i="6"/>
  <c r="I406" i="6"/>
  <c r="I405" i="6"/>
  <c r="I400" i="6"/>
  <c r="I399" i="6" s="1"/>
  <c r="I398" i="6" s="1"/>
  <c r="I397" i="6"/>
  <c r="I396" i="6"/>
  <c r="I391" i="6"/>
  <c r="I390" i="6" s="1"/>
  <c r="I389" i="6" s="1"/>
  <c r="I388" i="6" s="1"/>
  <c r="I387" i="6" s="1"/>
  <c r="I385" i="6"/>
  <c r="I384" i="6" s="1"/>
  <c r="I383" i="6" s="1"/>
  <c r="I382" i="6" s="1"/>
  <c r="I381" i="6" s="1"/>
  <c r="I380" i="6"/>
  <c r="I379" i="6" s="1"/>
  <c r="I378" i="6" s="1"/>
  <c r="I377" i="6" s="1"/>
  <c r="I376" i="6" s="1"/>
  <c r="I374" i="6"/>
  <c r="I373" i="6" s="1"/>
  <c r="I372" i="6" s="1"/>
  <c r="I371" i="6" s="1"/>
  <c r="I370" i="6" s="1"/>
  <c r="I369" i="6"/>
  <c r="I368" i="6" s="1"/>
  <c r="I367" i="6" s="1"/>
  <c r="I366" i="6" s="1"/>
  <c r="I365" i="6"/>
  <c r="I364" i="6" s="1"/>
  <c r="I363" i="6" s="1"/>
  <c r="I362" i="6" s="1"/>
  <c r="I360" i="6"/>
  <c r="I359" i="6" s="1"/>
  <c r="I358" i="6" s="1"/>
  <c r="I357" i="6" s="1"/>
  <c r="I356" i="6" s="1"/>
  <c r="I354" i="6"/>
  <c r="I353" i="6" s="1"/>
  <c r="I352" i="6" s="1"/>
  <c r="I351" i="6" s="1"/>
  <c r="I350" i="6" s="1"/>
  <c r="I349" i="6"/>
  <c r="I348" i="6" s="1"/>
  <c r="I347" i="6" s="1"/>
  <c r="I346" i="6" s="1"/>
  <c r="I345" i="6" s="1"/>
  <c r="I344" i="6"/>
  <c r="I343" i="6" s="1"/>
  <c r="I342" i="6" s="1"/>
  <c r="I341" i="6" s="1"/>
  <c r="I340" i="6" s="1"/>
  <c r="I339" i="6"/>
  <c r="I338" i="6"/>
  <c r="I327" i="6"/>
  <c r="I326" i="6" s="1"/>
  <c r="I325" i="6" s="1"/>
  <c r="I324" i="6" s="1"/>
  <c r="I323" i="6" s="1"/>
  <c r="I322" i="6"/>
  <c r="I321" i="6" s="1"/>
  <c r="I320" i="6" s="1"/>
  <c r="I319" i="6" s="1"/>
  <c r="I318" i="6" s="1"/>
  <c r="I317" i="6"/>
  <c r="I316" i="6" s="1"/>
  <c r="I315" i="6" s="1"/>
  <c r="I314" i="6" s="1"/>
  <c r="I313" i="6" s="1"/>
  <c r="I302" i="6"/>
  <c r="I301" i="6" s="1"/>
  <c r="I300" i="6" s="1"/>
  <c r="I299" i="6" s="1"/>
  <c r="I298" i="6" s="1"/>
  <c r="I297" i="6"/>
  <c r="I296" i="6" s="1"/>
  <c r="I295" i="6" s="1"/>
  <c r="I294" i="6" s="1"/>
  <c r="I293" i="6" s="1"/>
  <c r="I292" i="6"/>
  <c r="I291" i="6" s="1"/>
  <c r="I290" i="6" s="1"/>
  <c r="I289" i="6" s="1"/>
  <c r="I288" i="6" s="1"/>
  <c r="I287" i="6"/>
  <c r="I286" i="6" s="1"/>
  <c r="I285" i="6" s="1"/>
  <c r="I284" i="6" s="1"/>
  <c r="I283" i="6" s="1"/>
  <c r="I281" i="6"/>
  <c r="I280" i="6" s="1"/>
  <c r="I279" i="6"/>
  <c r="I278" i="6" s="1"/>
  <c r="I277" i="6"/>
  <c r="I276" i="6" s="1"/>
  <c r="I272" i="6"/>
  <c r="I271" i="6" s="1"/>
  <c r="I270" i="6"/>
  <c r="I269" i="6" s="1"/>
  <c r="I242" i="6"/>
  <c r="I237" i="6"/>
  <c r="I236" i="6" s="1"/>
  <c r="I235" i="6" s="1"/>
  <c r="I234" i="6"/>
  <c r="I233" i="6" s="1"/>
  <c r="I232" i="6" s="1"/>
  <c r="I229" i="6"/>
  <c r="I228" i="6" s="1"/>
  <c r="I227" i="6" s="1"/>
  <c r="I226" i="6"/>
  <c r="I225" i="6" s="1"/>
  <c r="I224" i="6" s="1"/>
  <c r="I223" i="6"/>
  <c r="I222" i="6"/>
  <c r="I216" i="6"/>
  <c r="I215" i="6" s="1"/>
  <c r="I214" i="6" s="1"/>
  <c r="I213" i="6" s="1"/>
  <c r="I212" i="6" s="1"/>
  <c r="I211" i="6" s="1"/>
  <c r="I210" i="6" s="1"/>
  <c r="I209" i="6"/>
  <c r="I208" i="6" s="1"/>
  <c r="I207" i="6" s="1"/>
  <c r="I206" i="6" s="1"/>
  <c r="I205" i="6" s="1"/>
  <c r="I204" i="6"/>
  <c r="I203" i="6" s="1"/>
  <c r="I202" i="6" s="1"/>
  <c r="I201" i="6" s="1"/>
  <c r="I200" i="6" s="1"/>
  <c r="I199" i="6"/>
  <c r="I198" i="6" s="1"/>
  <c r="I197" i="6" s="1"/>
  <c r="I196" i="6" s="1"/>
  <c r="I195" i="6" s="1"/>
  <c r="I192" i="6"/>
  <c r="I191" i="6" s="1"/>
  <c r="I190" i="6" s="1"/>
  <c r="I189" i="6"/>
  <c r="I188" i="6" s="1"/>
  <c r="I187" i="6" s="1"/>
  <c r="I181" i="6"/>
  <c r="I180" i="6" s="1"/>
  <c r="I179" i="6" s="1"/>
  <c r="I178" i="6" s="1"/>
  <c r="I177" i="6" s="1"/>
  <c r="I171" i="6"/>
  <c r="I170" i="6" s="1"/>
  <c r="I169" i="6" s="1"/>
  <c r="I168" i="6" s="1"/>
  <c r="I167" i="6" s="1"/>
  <c r="I166" i="6"/>
  <c r="I165" i="6" s="1"/>
  <c r="I164" i="6" s="1"/>
  <c r="I163" i="6" s="1"/>
  <c r="I162" i="6" s="1"/>
  <c r="I161" i="6"/>
  <c r="I160" i="6" s="1"/>
  <c r="I159" i="6" s="1"/>
  <c r="I158" i="6"/>
  <c r="I157" i="6"/>
  <c r="I151" i="6"/>
  <c r="I150" i="6"/>
  <c r="I145" i="6"/>
  <c r="I144" i="6" s="1"/>
  <c r="I143" i="6" s="1"/>
  <c r="I142" i="6" s="1"/>
  <c r="I141" i="6"/>
  <c r="I140" i="6"/>
  <c r="I137" i="6"/>
  <c r="I136" i="6"/>
  <c r="I130" i="6"/>
  <c r="I129" i="6"/>
  <c r="I124" i="6"/>
  <c r="I123" i="6"/>
  <c r="I117" i="6"/>
  <c r="I116" i="6" s="1"/>
  <c r="I115" i="6" s="1"/>
  <c r="I114" i="6"/>
  <c r="I113" i="6"/>
  <c r="I88" i="6"/>
  <c r="I87" i="6" s="1"/>
  <c r="I86" i="6" s="1"/>
  <c r="I85" i="6" s="1"/>
  <c r="I84" i="6" s="1"/>
  <c r="I83" i="6" s="1"/>
  <c r="I82" i="6"/>
  <c r="I81" i="6" s="1"/>
  <c r="I80" i="6" s="1"/>
  <c r="I79" i="6" s="1"/>
  <c r="I78" i="6" s="1"/>
  <c r="I77" i="6" s="1"/>
  <c r="I76" i="6"/>
  <c r="I75" i="6"/>
  <c r="I72" i="6"/>
  <c r="I71" i="6"/>
  <c r="I63" i="6"/>
  <c r="I62" i="6"/>
  <c r="I55" i="6"/>
  <c r="I54" i="6" s="1"/>
  <c r="I53" i="6"/>
  <c r="I52" i="6" s="1"/>
  <c r="I47" i="6"/>
  <c r="I46" i="6" s="1"/>
  <c r="I45" i="6"/>
  <c r="I44" i="6" s="1"/>
  <c r="I43" i="6"/>
  <c r="I42" i="6" s="1"/>
  <c r="I38" i="6"/>
  <c r="I37" i="6"/>
  <c r="I32" i="6"/>
  <c r="I31" i="6" s="1"/>
  <c r="I30" i="6" s="1"/>
  <c r="I29" i="6"/>
  <c r="I28" i="6"/>
  <c r="I22" i="6"/>
  <c r="I21" i="6" s="1"/>
  <c r="I20" i="6" s="1"/>
  <c r="I19" i="6" s="1"/>
  <c r="I18" i="6" s="1"/>
  <c r="J145" i="5"/>
  <c r="J1238" i="5"/>
  <c r="J1237" i="5" s="1"/>
  <c r="J1145" i="5"/>
  <c r="J1144" i="5" s="1"/>
  <c r="J1143" i="5" s="1"/>
  <c r="J473" i="5"/>
  <c r="J323" i="5"/>
  <c r="J322" i="5" s="1"/>
  <c r="J321" i="5" s="1"/>
  <c r="J320" i="5" s="1"/>
  <c r="J136" i="5"/>
  <c r="J135" i="5" s="1"/>
  <c r="J126" i="5"/>
  <c r="J125" i="5" s="1"/>
  <c r="J124" i="5" s="1"/>
  <c r="J1321" i="5"/>
  <c r="J1320" i="5" s="1"/>
  <c r="J1319" i="5" s="1"/>
  <c r="J1318" i="5" s="1"/>
  <c r="J1317" i="5" s="1"/>
  <c r="J1316" i="5" s="1"/>
  <c r="J1314" i="5"/>
  <c r="J1312" i="5"/>
  <c r="J1304" i="5"/>
  <c r="J1303" i="5" s="1"/>
  <c r="J1301" i="5"/>
  <c r="J1299" i="5"/>
  <c r="J1296" i="5"/>
  <c r="J1294" i="5"/>
  <c r="J1287" i="5"/>
  <c r="J1286" i="5" s="1"/>
  <c r="J1285" i="5" s="1"/>
  <c r="J1284" i="5" s="1"/>
  <c r="J1283" i="5" s="1"/>
  <c r="J1281" i="5"/>
  <c r="J1280" i="5" s="1"/>
  <c r="J1279" i="5" s="1"/>
  <c r="J1277" i="5"/>
  <c r="J1276" i="5" s="1"/>
  <c r="J1275" i="5" s="1"/>
  <c r="J1270" i="5"/>
  <c r="J1269" i="5" s="1"/>
  <c r="J1268" i="5" s="1"/>
  <c r="J1267" i="5" s="1"/>
  <c r="J1265" i="5"/>
  <c r="J1264" i="5" s="1"/>
  <c r="J1263" i="5" s="1"/>
  <c r="J1262" i="5" s="1"/>
  <c r="J1260" i="5"/>
  <c r="J1259" i="5" s="1"/>
  <c r="J1258" i="5" s="1"/>
  <c r="J1257" i="5" s="1"/>
  <c r="J1248" i="5"/>
  <c r="J1244" i="5"/>
  <c r="J1243" i="5" s="1"/>
  <c r="J1241" i="5"/>
  <c r="J1240" i="5" s="1"/>
  <c r="J1232" i="5"/>
  <c r="J1231" i="5" s="1"/>
  <c r="J1229" i="5"/>
  <c r="J1228" i="5" s="1"/>
  <c r="J1223" i="5"/>
  <c r="J1221" i="5" s="1"/>
  <c r="J1211" i="5"/>
  <c r="J1210" i="5" s="1"/>
  <c r="J1208" i="5"/>
  <c r="J1207" i="5" s="1"/>
  <c r="J1206" i="5" s="1"/>
  <c r="J1203" i="5"/>
  <c r="J1202" i="5" s="1"/>
  <c r="J1201" i="5" s="1"/>
  <c r="J1189" i="5"/>
  <c r="J1187" i="5"/>
  <c r="J1185" i="5"/>
  <c r="J1182" i="5"/>
  <c r="J1181" i="5" s="1"/>
  <c r="J1180" i="5" s="1"/>
  <c r="J1178" i="5"/>
  <c r="J1177" i="5" s="1"/>
  <c r="J1176" i="5" s="1"/>
  <c r="J1174" i="5"/>
  <c r="J1173" i="5" s="1"/>
  <c r="J1166" i="5"/>
  <c r="J1164" i="5"/>
  <c r="J1160" i="5"/>
  <c r="J1159" i="5" s="1"/>
  <c r="J1155" i="5"/>
  <c r="J1154" i="5" s="1"/>
  <c r="J1152" i="5"/>
  <c r="J1151" i="5" s="1"/>
  <c r="J1141" i="5"/>
  <c r="J1140" i="5" s="1"/>
  <c r="J1138" i="5"/>
  <c r="J1137" i="5" s="1"/>
  <c r="J1135" i="5"/>
  <c r="J1134" i="5" s="1"/>
  <c r="J1132" i="5"/>
  <c r="J1131" i="5" s="1"/>
  <c r="J1126" i="5"/>
  <c r="J1125" i="5" s="1"/>
  <c r="J1124" i="5" s="1"/>
  <c r="J1122" i="5"/>
  <c r="J1121" i="5" s="1"/>
  <c r="J1120" i="5" s="1"/>
  <c r="J1116" i="5"/>
  <c r="J1108" i="5"/>
  <c r="J1105" i="5"/>
  <c r="J1104" i="5" s="1"/>
  <c r="J1098" i="5"/>
  <c r="J1096" i="5"/>
  <c r="J1092" i="5"/>
  <c r="J1090" i="5"/>
  <c r="J1087" i="5"/>
  <c r="J1086" i="5" s="1"/>
  <c r="J1082" i="5"/>
  <c r="J1081" i="5" s="1"/>
  <c r="J1080" i="5" s="1"/>
  <c r="J1079" i="5" s="1"/>
  <c r="G60" i="1" s="1"/>
  <c r="J1077" i="5"/>
  <c r="J1076" i="5" s="1"/>
  <c r="J1073" i="5"/>
  <c r="J1072" i="5" s="1"/>
  <c r="J1069" i="5"/>
  <c r="J1068" i="5" s="1"/>
  <c r="J1062" i="5"/>
  <c r="J1061" i="5" s="1"/>
  <c r="J1060" i="5" s="1"/>
  <c r="J1059" i="5" s="1"/>
  <c r="J1056" i="5"/>
  <c r="J1055" i="5" s="1"/>
  <c r="J1054" i="5" s="1"/>
  <c r="J1053" i="5" s="1"/>
  <c r="J1049" i="5"/>
  <c r="J1047" i="5"/>
  <c r="J1045" i="5"/>
  <c r="J1042" i="5"/>
  <c r="J1040" i="5"/>
  <c r="J1034" i="5"/>
  <c r="J1033" i="5" s="1"/>
  <c r="J1032" i="5" s="1"/>
  <c r="J1031" i="5" s="1"/>
  <c r="J1029" i="5"/>
  <c r="J1028" i="5" s="1"/>
  <c r="J1026" i="5"/>
  <c r="J1025" i="5" s="1"/>
  <c r="J1021" i="5"/>
  <c r="J1020" i="5" s="1"/>
  <c r="J1018" i="5"/>
  <c r="J1017" i="5" s="1"/>
  <c r="J1015" i="5"/>
  <c r="J1014" i="5" s="1"/>
  <c r="J1010" i="5"/>
  <c r="J1009" i="5" s="1"/>
  <c r="J1008" i="5" s="1"/>
  <c r="J1003" i="5"/>
  <c r="J1002" i="5" s="1"/>
  <c r="J1000" i="5"/>
  <c r="J999" i="5" s="1"/>
  <c r="J997" i="5"/>
  <c r="J996" i="5" s="1"/>
  <c r="J988" i="5"/>
  <c r="J987" i="5" s="1"/>
  <c r="J985" i="5"/>
  <c r="J984" i="5" s="1"/>
  <c r="J982" i="5"/>
  <c r="J981" i="5" s="1"/>
  <c r="J979" i="5"/>
  <c r="J978" i="5" s="1"/>
  <c r="J972" i="5"/>
  <c r="J971" i="5" s="1"/>
  <c r="J970" i="5" s="1"/>
  <c r="J969" i="5" s="1"/>
  <c r="J967" i="5"/>
  <c r="J966" i="5" s="1"/>
  <c r="J964" i="5"/>
  <c r="J963" i="5" s="1"/>
  <c r="J961" i="5"/>
  <c r="J960" i="5" s="1"/>
  <c r="J954" i="5"/>
  <c r="J953" i="5" s="1"/>
  <c r="J951" i="5"/>
  <c r="J950" i="5" s="1"/>
  <c r="J943" i="5"/>
  <c r="J942" i="5" s="1"/>
  <c r="J941" i="5" s="1"/>
  <c r="J940" i="5" s="1"/>
  <c r="J939" i="5" s="1"/>
  <c r="J936" i="5"/>
  <c r="J935" i="5" s="1"/>
  <c r="J934" i="5" s="1"/>
  <c r="J932" i="5"/>
  <c r="J931" i="5" s="1"/>
  <c r="J930" i="5" s="1"/>
  <c r="J929" i="5" s="1"/>
  <c r="J924" i="5"/>
  <c r="J923" i="5" s="1"/>
  <c r="J922" i="5" s="1"/>
  <c r="J921" i="5" s="1"/>
  <c r="J920" i="5" s="1"/>
  <c r="J918" i="5"/>
  <c r="J917" i="5" s="1"/>
  <c r="J916" i="5" s="1"/>
  <c r="J912" i="5"/>
  <c r="J910" i="5"/>
  <c r="J906" i="5"/>
  <c r="J905" i="5" s="1"/>
  <c r="J903" i="5"/>
  <c r="J901" i="5"/>
  <c r="J892" i="5"/>
  <c r="J891" i="5" s="1"/>
  <c r="J890" i="5" s="1"/>
  <c r="J889" i="5" s="1"/>
  <c r="J888" i="5" s="1"/>
  <c r="J886" i="5"/>
  <c r="J885" i="5" s="1"/>
  <c r="J884" i="5" s="1"/>
  <c r="J883" i="5" s="1"/>
  <c r="J881" i="5"/>
  <c r="J880" i="5" s="1"/>
  <c r="J879" i="5" s="1"/>
  <c r="J878" i="5" s="1"/>
  <c r="J874" i="5"/>
  <c r="J873" i="5" s="1"/>
  <c r="J871" i="5"/>
  <c r="J870" i="5" s="1"/>
  <c r="J862" i="5"/>
  <c r="J860" i="5"/>
  <c r="J856" i="5"/>
  <c r="J854" i="5"/>
  <c r="J852" i="5"/>
  <c r="J849" i="5"/>
  <c r="J848" i="5" s="1"/>
  <c r="J847" i="5" s="1"/>
  <c r="J845" i="5"/>
  <c r="J844" i="5" s="1"/>
  <c r="J840" i="5"/>
  <c r="J839" i="5" s="1"/>
  <c r="J838" i="5" s="1"/>
  <c r="J835" i="5"/>
  <c r="J834" i="5" s="1"/>
  <c r="J833" i="5" s="1"/>
  <c r="J832" i="5" s="1"/>
  <c r="J829" i="5"/>
  <c r="J828" i="5" s="1"/>
  <c r="J823" i="5" s="1"/>
  <c r="J819" i="5"/>
  <c r="J818" i="5" s="1"/>
  <c r="J817" i="5" s="1"/>
  <c r="J815" i="5"/>
  <c r="J814" i="5" s="1"/>
  <c r="J813" i="5" s="1"/>
  <c r="J808" i="5"/>
  <c r="J807" i="5" s="1"/>
  <c r="J805" i="5"/>
  <c r="J804" i="5" s="1"/>
  <c r="J801" i="5"/>
  <c r="J800" i="5" s="1"/>
  <c r="J786" i="5"/>
  <c r="J785" i="5" s="1"/>
  <c r="J783" i="5"/>
  <c r="J782" i="5" s="1"/>
  <c r="J780" i="5"/>
  <c r="J779" i="5" s="1"/>
  <c r="J777" i="5"/>
  <c r="J776" i="5" s="1"/>
  <c r="J772" i="5"/>
  <c r="J771" i="5" s="1"/>
  <c r="J770" i="5" s="1"/>
  <c r="J758" i="5"/>
  <c r="J757" i="5" s="1"/>
  <c r="J755" i="5"/>
  <c r="J754" i="5" s="1"/>
  <c r="J751" i="5"/>
  <c r="J750" i="5" s="1"/>
  <c r="J749" i="5" s="1"/>
  <c r="J748" i="5" s="1"/>
  <c r="J746" i="5"/>
  <c r="J745" i="5" s="1"/>
  <c r="J744" i="5" s="1"/>
  <c r="J743" i="5" s="1"/>
  <c r="J739" i="5"/>
  <c r="J738" i="5" s="1"/>
  <c r="J735" i="5"/>
  <c r="J734" i="5" s="1"/>
  <c r="J733" i="5" s="1"/>
  <c r="J730" i="5"/>
  <c r="J729" i="5" s="1"/>
  <c r="J726" i="5"/>
  <c r="J725" i="5" s="1"/>
  <c r="J722" i="5"/>
  <c r="J721" i="5" s="1"/>
  <c r="J716" i="5"/>
  <c r="J715" i="5" s="1"/>
  <c r="J712" i="5"/>
  <c r="J711" i="5" s="1"/>
  <c r="J706" i="5"/>
  <c r="J705" i="5" s="1"/>
  <c r="J703" i="5"/>
  <c r="J702" i="5" s="1"/>
  <c r="J700" i="5"/>
  <c r="J699" i="5" s="1"/>
  <c r="J696" i="5"/>
  <c r="J695" i="5" s="1"/>
  <c r="J691" i="5"/>
  <c r="J690" i="5" s="1"/>
  <c r="J689" i="5" s="1"/>
  <c r="J683" i="5"/>
  <c r="J682" i="5" s="1"/>
  <c r="J680" i="5"/>
  <c r="J679" i="5" s="1"/>
  <c r="J676" i="5"/>
  <c r="J675" i="5" s="1"/>
  <c r="J672" i="5"/>
  <c r="J671" i="5" s="1"/>
  <c r="J670" i="5" s="1"/>
  <c r="J669" i="5" s="1"/>
  <c r="J668" i="5" s="1"/>
  <c r="J665" i="5"/>
  <c r="J664" i="5" s="1"/>
  <c r="J663" i="5" s="1"/>
  <c r="J662" i="5" s="1"/>
  <c r="J648" i="5"/>
  <c r="J647" i="5" s="1"/>
  <c r="J646" i="5" s="1"/>
  <c r="J643" i="5"/>
  <c r="J642" i="5" s="1"/>
  <c r="J639" i="5"/>
  <c r="J638" i="5" s="1"/>
  <c r="J637" i="5" s="1"/>
  <c r="J630" i="5"/>
  <c r="J628" i="5"/>
  <c r="J624" i="5"/>
  <c r="J623" i="5" s="1"/>
  <c r="J617" i="5"/>
  <c r="J616" i="5" s="1"/>
  <c r="J614" i="5"/>
  <c r="J613" i="5" s="1"/>
  <c r="J608" i="5"/>
  <c r="J607" i="5" s="1"/>
  <c r="J606" i="5" s="1"/>
  <c r="J605" i="5" s="1"/>
  <c r="J604" i="5" s="1"/>
  <c r="J603" i="5" s="1"/>
  <c r="J600" i="5"/>
  <c r="J599" i="5" s="1"/>
  <c r="J598" i="5" s="1"/>
  <c r="J597" i="5" s="1"/>
  <c r="J594" i="5"/>
  <c r="J593" i="5" s="1"/>
  <c r="J592" i="5" s="1"/>
  <c r="J591" i="5" s="1"/>
  <c r="J589" i="5"/>
  <c r="J587" i="5"/>
  <c r="J581" i="5"/>
  <c r="J579" i="5"/>
  <c r="J574" i="5"/>
  <c r="J573" i="5" s="1"/>
  <c r="J572" i="5" s="1"/>
  <c r="J571" i="5" s="1"/>
  <c r="J565" i="5"/>
  <c r="J564" i="5" s="1"/>
  <c r="J562" i="5"/>
  <c r="J561" i="5" s="1"/>
  <c r="J559" i="5"/>
  <c r="J558" i="5" s="1"/>
  <c r="J556" i="5"/>
  <c r="J555" i="5" s="1"/>
  <c r="J551" i="5"/>
  <c r="J550" i="5" s="1"/>
  <c r="J549" i="5" s="1"/>
  <c r="J548" i="5" s="1"/>
  <c r="J536" i="5"/>
  <c r="J535" i="5" s="1"/>
  <c r="J534" i="5" s="1"/>
  <c r="J533" i="5" s="1"/>
  <c r="J532" i="5" s="1"/>
  <c r="J530" i="5"/>
  <c r="J529" i="5" s="1"/>
  <c r="J528" i="5" s="1"/>
  <c r="J526" i="5"/>
  <c r="J525" i="5" s="1"/>
  <c r="J523" i="5"/>
  <c r="J522" i="5" s="1"/>
  <c r="J521" i="5" s="1"/>
  <c r="J519" i="5"/>
  <c r="J518" i="5" s="1"/>
  <c r="J516" i="5"/>
  <c r="J515" i="5" s="1"/>
  <c r="J510" i="5"/>
  <c r="J508" i="5"/>
  <c r="J501" i="5"/>
  <c r="J500" i="5" s="1"/>
  <c r="J499" i="5" s="1"/>
  <c r="J498" i="5" s="1"/>
  <c r="J495" i="5"/>
  <c r="J494" i="5" s="1"/>
  <c r="J493" i="5" s="1"/>
  <c r="J492" i="5" s="1"/>
  <c r="J491" i="5" s="1"/>
  <c r="J490" i="5" s="1"/>
  <c r="J487" i="5"/>
  <c r="J486" i="5" s="1"/>
  <c r="J485" i="5" s="1"/>
  <c r="J484" i="5" s="1"/>
  <c r="J483" i="5" s="1"/>
  <c r="J482" i="5" s="1"/>
  <c r="J481" i="5" s="1"/>
  <c r="J479" i="5"/>
  <c r="J478" i="5" s="1"/>
  <c r="J477" i="5" s="1"/>
  <c r="J476" i="5" s="1"/>
  <c r="J475" i="5" s="1"/>
  <c r="J471" i="5"/>
  <c r="J469" i="5"/>
  <c r="J462" i="5"/>
  <c r="J461" i="5" s="1"/>
  <c r="J460" i="5" s="1"/>
  <c r="J459" i="5" s="1"/>
  <c r="J458" i="5" s="1"/>
  <c r="J457" i="5" s="1"/>
  <c r="G20" i="1" s="1"/>
  <c r="J453" i="5"/>
  <c r="J452" i="5" s="1"/>
  <c r="J450" i="5"/>
  <c r="J448" i="5"/>
  <c r="J446" i="5"/>
  <c r="J440" i="5"/>
  <c r="J438" i="5"/>
  <c r="J436" i="5"/>
  <c r="J430" i="5"/>
  <c r="J429" i="5" s="1"/>
  <c r="J428" i="5" s="1"/>
  <c r="J427" i="5" s="1"/>
  <c r="J425" i="5"/>
  <c r="J424" i="5" s="1"/>
  <c r="J423" i="5" s="1"/>
  <c r="J422" i="5" s="1"/>
  <c r="J420" i="5"/>
  <c r="J419" i="5" s="1"/>
  <c r="J418" i="5" s="1"/>
  <c r="J413" i="5"/>
  <c r="J412" i="5" s="1"/>
  <c r="J407" i="5"/>
  <c r="J406" i="5" s="1"/>
  <c r="J396" i="5"/>
  <c r="J395" i="5" s="1"/>
  <c r="J391" i="5"/>
  <c r="J389" i="5"/>
  <c r="J386" i="5"/>
  <c r="J385" i="5" s="1"/>
  <c r="J384" i="5" s="1"/>
  <c r="J383" i="5" s="1"/>
  <c r="J381" i="5"/>
  <c r="J380" i="5" s="1"/>
  <c r="J379" i="5" s="1"/>
  <c r="J378" i="5" s="1"/>
  <c r="J376" i="5"/>
  <c r="J375" i="5" s="1"/>
  <c r="J374" i="5" s="1"/>
  <c r="J373" i="5" s="1"/>
  <c r="J371" i="5"/>
  <c r="J370" i="5" s="1"/>
  <c r="J369" i="5" s="1"/>
  <c r="J368" i="5" s="1"/>
  <c r="J362" i="5"/>
  <c r="J361" i="5" s="1"/>
  <c r="J360" i="5" s="1"/>
  <c r="J359" i="5" s="1"/>
  <c r="J358" i="5" s="1"/>
  <c r="G54" i="1" s="1"/>
  <c r="J355" i="5"/>
  <c r="J354" i="5" s="1"/>
  <c r="J352" i="5"/>
  <c r="J351" i="5" s="1"/>
  <c r="J349" i="5"/>
  <c r="J348" i="5" s="1"/>
  <c r="J344" i="5"/>
  <c r="J342" i="5"/>
  <c r="J340" i="5"/>
  <c r="J337" i="5"/>
  <c r="J336" i="5" s="1"/>
  <c r="J332" i="5"/>
  <c r="J331" i="5" s="1"/>
  <c r="J330" i="5" s="1"/>
  <c r="J329" i="5" s="1"/>
  <c r="J327" i="5"/>
  <c r="J326" i="5" s="1"/>
  <c r="J325" i="5" s="1"/>
  <c r="J318" i="5"/>
  <c r="J317" i="5" s="1"/>
  <c r="J316" i="5" s="1"/>
  <c r="J314" i="5"/>
  <c r="J313" i="5" s="1"/>
  <c r="J312" i="5" s="1"/>
  <c r="J309" i="5"/>
  <c r="J308" i="5" s="1"/>
  <c r="J307" i="5" s="1"/>
  <c r="J305" i="5"/>
  <c r="J304" i="5" s="1"/>
  <c r="J302" i="5"/>
  <c r="J301" i="5" s="1"/>
  <c r="J298" i="5"/>
  <c r="J297" i="5" s="1"/>
  <c r="J296" i="5" s="1"/>
  <c r="J294" i="5"/>
  <c r="J293" i="5" s="1"/>
  <c r="J292" i="5" s="1"/>
  <c r="J290" i="5"/>
  <c r="J289" i="5" s="1"/>
  <c r="J288" i="5" s="1"/>
  <c r="J286" i="5"/>
  <c r="J285" i="5" s="1"/>
  <c r="J284" i="5" s="1"/>
  <c r="J283" i="5" s="1"/>
  <c r="J279" i="5"/>
  <c r="J277" i="5"/>
  <c r="J274" i="5"/>
  <c r="J272" i="5"/>
  <c r="J257" i="5"/>
  <c r="J256" i="5" s="1"/>
  <c r="J254" i="5"/>
  <c r="J253" i="5" s="1"/>
  <c r="J251" i="5"/>
  <c r="J250" i="5" s="1"/>
  <c r="J247" i="5"/>
  <c r="J246" i="5" s="1"/>
  <c r="J244" i="5"/>
  <c r="J243" i="5" s="1"/>
  <c r="J238" i="5"/>
  <c r="J237" i="5" s="1"/>
  <c r="J235" i="5"/>
  <c r="J234" i="5" s="1"/>
  <c r="J231" i="5"/>
  <c r="J230" i="5" s="1"/>
  <c r="J226" i="5"/>
  <c r="J225" i="5" s="1"/>
  <c r="J224" i="5" s="1"/>
  <c r="J222" i="5"/>
  <c r="J221" i="5" s="1"/>
  <c r="J220" i="5" s="1"/>
  <c r="J217" i="5"/>
  <c r="J216" i="5" s="1"/>
  <c r="J214" i="5"/>
  <c r="J213" i="5" s="1"/>
  <c r="J208" i="5"/>
  <c r="J207" i="5" s="1"/>
  <c r="J206" i="5" s="1"/>
  <c r="J204" i="5"/>
  <c r="J203" i="5" s="1"/>
  <c r="J201" i="5"/>
  <c r="J200" i="5" s="1"/>
  <c r="J197" i="5"/>
  <c r="J196" i="5" s="1"/>
  <c r="J192" i="5"/>
  <c r="J190" i="5"/>
  <c r="J184" i="5"/>
  <c r="J182" i="5"/>
  <c r="J180" i="5"/>
  <c r="J175" i="5"/>
  <c r="J174" i="5" s="1"/>
  <c r="J173" i="5" s="1"/>
  <c r="J171" i="5"/>
  <c r="J169" i="5"/>
  <c r="J166" i="5"/>
  <c r="J165" i="5" s="1"/>
  <c r="J162" i="5"/>
  <c r="J161" i="5" s="1"/>
  <c r="J159" i="5"/>
  <c r="J158" i="5" s="1"/>
  <c r="J156" i="5"/>
  <c r="J155" i="5" s="1"/>
  <c r="J152" i="5"/>
  <c r="J151" i="5" s="1"/>
  <c r="J149" i="5"/>
  <c r="J147" i="5"/>
  <c r="J139" i="5"/>
  <c r="J138" i="5" s="1"/>
  <c r="J122" i="5"/>
  <c r="J121" i="5" s="1"/>
  <c r="J119" i="5"/>
  <c r="J118" i="5" s="1"/>
  <c r="J116" i="5"/>
  <c r="J115" i="5" s="1"/>
  <c r="J108" i="5"/>
  <c r="J107" i="5" s="1"/>
  <c r="J105" i="5"/>
  <c r="J104" i="5" s="1"/>
  <c r="J101" i="5"/>
  <c r="J100" i="5" s="1"/>
  <c r="J98" i="5"/>
  <c r="J97" i="5" s="1"/>
  <c r="J93" i="5"/>
  <c r="J92" i="5" s="1"/>
  <c r="J91" i="5" s="1"/>
  <c r="J89" i="5"/>
  <c r="J88" i="5" s="1"/>
  <c r="J86" i="5"/>
  <c r="J85" i="5" s="1"/>
  <c r="J82" i="5"/>
  <c r="J80" i="5"/>
  <c r="J78" i="5"/>
  <c r="J73" i="5"/>
  <c r="J72" i="5" s="1"/>
  <c r="J71" i="5" s="1"/>
  <c r="J69" i="5"/>
  <c r="J68" i="5" s="1"/>
  <c r="J65" i="5"/>
  <c r="J64" i="5" s="1"/>
  <c r="J61" i="5"/>
  <c r="J60" i="5" s="1"/>
  <c r="J59" i="5" s="1"/>
  <c r="J57" i="5"/>
  <c r="J55" i="5"/>
  <c r="J52" i="5"/>
  <c r="J50" i="5"/>
  <c r="J48" i="5"/>
  <c r="J42" i="5"/>
  <c r="J41" i="5" s="1"/>
  <c r="J40" i="5" s="1"/>
  <c r="J35" i="5"/>
  <c r="J34" i="5" s="1"/>
  <c r="J32" i="5"/>
  <c r="J30" i="5"/>
  <c r="J27" i="5"/>
  <c r="J25" i="5"/>
  <c r="J399" i="5" l="1"/>
  <c r="J398" i="5" s="1"/>
  <c r="J394" i="5" s="1"/>
  <c r="J1205" i="5"/>
  <c r="J259" i="5"/>
  <c r="K259" i="5" s="1"/>
  <c r="M259" i="5" s="1"/>
  <c r="O259" i="5" s="1"/>
  <c r="J799" i="5"/>
  <c r="J798" i="5" s="1"/>
  <c r="J797" i="5" s="1"/>
  <c r="J1119" i="5"/>
  <c r="G31" i="1" s="1"/>
  <c r="I715" i="6"/>
  <c r="J859" i="5"/>
  <c r="J858" i="5" s="1"/>
  <c r="I893" i="6"/>
  <c r="I892" i="6" s="1"/>
  <c r="I891" i="6" s="1"/>
  <c r="I51" i="6"/>
  <c r="I50" i="6" s="1"/>
  <c r="I49" i="6" s="1"/>
  <c r="I48" i="6" s="1"/>
  <c r="I70" i="6"/>
  <c r="I69" i="6" s="1"/>
  <c r="I128" i="6"/>
  <c r="I127" i="6" s="1"/>
  <c r="I126" i="6" s="1"/>
  <c r="I125" i="6" s="1"/>
  <c r="I241" i="6"/>
  <c r="I240" i="6" s="1"/>
  <c r="I239" i="6" s="1"/>
  <c r="I238" i="6" s="1"/>
  <c r="I876" i="6"/>
  <c r="I871" i="6" s="1"/>
  <c r="I982" i="6"/>
  <c r="I421" i="6"/>
  <c r="I420" i="6" s="1"/>
  <c r="I419" i="6" s="1"/>
  <c r="I418" i="6" s="1"/>
  <c r="I1417" i="6"/>
  <c r="I1416" i="6" s="1"/>
  <c r="I1415" i="6" s="1"/>
  <c r="I1414" i="6" s="1"/>
  <c r="I61" i="6"/>
  <c r="I60" i="6" s="1"/>
  <c r="I59" i="6" s="1"/>
  <c r="I58" i="6" s="1"/>
  <c r="I57" i="6" s="1"/>
  <c r="I112" i="6"/>
  <c r="I111" i="6" s="1"/>
  <c r="I110" i="6" s="1"/>
  <c r="I109" i="6" s="1"/>
  <c r="I337" i="6"/>
  <c r="I336" i="6" s="1"/>
  <c r="I335" i="6" s="1"/>
  <c r="I334" i="6" s="1"/>
  <c r="I333" i="6" s="1"/>
  <c r="I1206" i="6"/>
  <c r="I1353" i="6"/>
  <c r="I149" i="6"/>
  <c r="I148" i="6" s="1"/>
  <c r="I147" i="6" s="1"/>
  <c r="I146" i="6" s="1"/>
  <c r="I186" i="6"/>
  <c r="I185" i="6" s="1"/>
  <c r="I184" i="6" s="1"/>
  <c r="I183" i="6" s="1"/>
  <c r="I1374" i="6"/>
  <c r="I1373" i="6" s="1"/>
  <c r="I1372" i="6" s="1"/>
  <c r="I1118" i="6"/>
  <c r="I1117" i="6" s="1"/>
  <c r="I1095" i="6"/>
  <c r="I1094" i="6" s="1"/>
  <c r="I1093" i="6" s="1"/>
  <c r="I1088" i="6" s="1"/>
  <c r="J602" i="5"/>
  <c r="G52" i="1"/>
  <c r="G51" i="1" s="1"/>
  <c r="J1115" i="5"/>
  <c r="J1114" i="5" s="1"/>
  <c r="I1007" i="6"/>
  <c r="J596" i="5"/>
  <c r="J938" i="5"/>
  <c r="G65" i="1"/>
  <c r="G64" i="1" s="1"/>
  <c r="J1246" i="5"/>
  <c r="I1020" i="6" s="1"/>
  <c r="I1022" i="6"/>
  <c r="J388" i="5"/>
  <c r="J367" i="5" s="1"/>
  <c r="J1293" i="5"/>
  <c r="J909" i="5"/>
  <c r="J908" i="5" s="1"/>
  <c r="I574" i="6"/>
  <c r="I573" i="6" s="1"/>
  <c r="I572" i="6" s="1"/>
  <c r="I571" i="6" s="1"/>
  <c r="I570" i="6" s="1"/>
  <c r="I642" i="6"/>
  <c r="I641" i="6" s="1"/>
  <c r="I640" i="6" s="1"/>
  <c r="J1147" i="5"/>
  <c r="I361" i="6"/>
  <c r="I355" i="6" s="1"/>
  <c r="I1078" i="6"/>
  <c r="I36" i="6"/>
  <c r="I35" i="6" s="1"/>
  <c r="I34" i="6" s="1"/>
  <c r="I33" i="6" s="1"/>
  <c r="I74" i="6"/>
  <c r="I73" i="6" s="1"/>
  <c r="I135" i="6"/>
  <c r="I134" i="6" s="1"/>
  <c r="I375" i="6"/>
  <c r="I503" i="6"/>
  <c r="I497" i="6" s="1"/>
  <c r="I529" i="6"/>
  <c r="I635" i="6"/>
  <c r="I634" i="6" s="1"/>
  <c r="I633" i="6" s="1"/>
  <c r="I769" i="6"/>
  <c r="I768" i="6" s="1"/>
  <c r="I767" i="6" s="1"/>
  <c r="I766" i="6" s="1"/>
  <c r="I760" i="6" s="1"/>
  <c r="I1358" i="6"/>
  <c r="I720" i="6"/>
  <c r="I719" i="6" s="1"/>
  <c r="I275" i="6"/>
  <c r="I274" i="6" s="1"/>
  <c r="I273" i="6" s="1"/>
  <c r="I404" i="6"/>
  <c r="I403" i="6" s="1"/>
  <c r="I413" i="6"/>
  <c r="I412" i="6" s="1"/>
  <c r="I411" i="6" s="1"/>
  <c r="I1300" i="6"/>
  <c r="I1299" i="6" s="1"/>
  <c r="I1294" i="6" s="1"/>
  <c r="I1288" i="6" s="1"/>
  <c r="I1287" i="6" s="1"/>
  <c r="I690" i="6"/>
  <c r="I689" i="6" s="1"/>
  <c r="I688" i="6" s="1"/>
  <c r="I687" i="6" s="1"/>
  <c r="I907" i="6"/>
  <c r="I906" i="6" s="1"/>
  <c r="I905" i="6" s="1"/>
  <c r="I904" i="6" s="1"/>
  <c r="I27" i="6"/>
  <c r="I26" i="6" s="1"/>
  <c r="I25" i="6" s="1"/>
  <c r="I24" i="6" s="1"/>
  <c r="I231" i="6"/>
  <c r="I230" i="6" s="1"/>
  <c r="I923" i="6"/>
  <c r="I1108" i="6"/>
  <c r="I1139" i="6"/>
  <c r="I1134" i="6" s="1"/>
  <c r="I1194" i="6"/>
  <c r="I1193" i="6" s="1"/>
  <c r="I1192" i="6" s="1"/>
  <c r="I1186" i="6" s="1"/>
  <c r="I1403" i="6"/>
  <c r="I1402" i="6" s="1"/>
  <c r="I1401" i="6" s="1"/>
  <c r="I1400" i="6" s="1"/>
  <c r="I1399" i="6" s="1"/>
  <c r="I486" i="6"/>
  <c r="I485" i="6" s="1"/>
  <c r="I484" i="6" s="1"/>
  <c r="I563" i="6"/>
  <c r="I559" i="6" s="1"/>
  <c r="I558" i="6" s="1"/>
  <c r="I786" i="6"/>
  <c r="I785" i="6" s="1"/>
  <c r="I784" i="6" s="1"/>
  <c r="I122" i="6"/>
  <c r="I121" i="6" s="1"/>
  <c r="I120" i="6" s="1"/>
  <c r="I119" i="6" s="1"/>
  <c r="I156" i="6"/>
  <c r="I155" i="6" s="1"/>
  <c r="I221" i="6"/>
  <c r="I220" i="6" s="1"/>
  <c r="I219" i="6" s="1"/>
  <c r="I218" i="6" s="1"/>
  <c r="I268" i="6"/>
  <c r="I267" i="6" s="1"/>
  <c r="I266" i="6" s="1"/>
  <c r="I265" i="6" s="1"/>
  <c r="I408" i="6"/>
  <c r="I407" i="6" s="1"/>
  <c r="I548" i="6"/>
  <c r="I547" i="6" s="1"/>
  <c r="I546" i="6" s="1"/>
  <c r="I677" i="6"/>
  <c r="I676" i="6" s="1"/>
  <c r="I675" i="6" s="1"/>
  <c r="I794" i="6"/>
  <c r="I793" i="6" s="1"/>
  <c r="I792" i="6" s="1"/>
  <c r="I791" i="6" s="1"/>
  <c r="I844" i="6"/>
  <c r="I1067" i="6"/>
  <c r="I1066" i="6" s="1"/>
  <c r="I1065" i="6" s="1"/>
  <c r="I1215" i="6"/>
  <c r="I1455" i="6"/>
  <c r="I1454" i="6" s="1"/>
  <c r="I1453" i="6" s="1"/>
  <c r="I1447" i="6" s="1"/>
  <c r="I139" i="6"/>
  <c r="I138" i="6" s="1"/>
  <c r="I395" i="6"/>
  <c r="I394" i="6" s="1"/>
  <c r="I393" i="6" s="1"/>
  <c r="I392" i="6" s="1"/>
  <c r="I930" i="6"/>
  <c r="I1159" i="6"/>
  <c r="I1158" i="6" s="1"/>
  <c r="I1157" i="6" s="1"/>
  <c r="I1151" i="6" s="1"/>
  <c r="I1009" i="6"/>
  <c r="I154" i="6"/>
  <c r="I153" i="6" s="1"/>
  <c r="I152" i="6" s="1"/>
  <c r="I194" i="6"/>
  <c r="I193" i="6" s="1"/>
  <c r="I41" i="6"/>
  <c r="I40" i="6" s="1"/>
  <c r="I39" i="6" s="1"/>
  <c r="I427" i="6"/>
  <c r="I426" i="6" s="1"/>
  <c r="I425" i="6" s="1"/>
  <c r="I424" i="6" s="1"/>
  <c r="I441" i="6"/>
  <c r="I440" i="6" s="1"/>
  <c r="I439" i="6" s="1"/>
  <c r="I454" i="6"/>
  <c r="I453" i="6" s="1"/>
  <c r="I452" i="6" s="1"/>
  <c r="I479" i="6"/>
  <c r="I478" i="6" s="1"/>
  <c r="I477" i="6" s="1"/>
  <c r="I583" i="6"/>
  <c r="I592" i="6"/>
  <c r="I778" i="6"/>
  <c r="I777" i="6" s="1"/>
  <c r="I776" i="6" s="1"/>
  <c r="I775" i="6" s="1"/>
  <c r="I812" i="6"/>
  <c r="I1125" i="6"/>
  <c r="I1174" i="6"/>
  <c r="I1168" i="6" s="1"/>
  <c r="I1239" i="6"/>
  <c r="I1238" i="6" s="1"/>
  <c r="I1232" i="6" s="1"/>
  <c r="I1270" i="6"/>
  <c r="I1269" i="6" s="1"/>
  <c r="I1264" i="6" s="1"/>
  <c r="I1253" i="6" s="1"/>
  <c r="I282" i="6"/>
  <c r="I461" i="6"/>
  <c r="I460" i="6" s="1"/>
  <c r="I748" i="6"/>
  <c r="I747" i="6"/>
  <c r="I1053" i="6"/>
  <c r="I1052" i="6" s="1"/>
  <c r="I1051" i="6" s="1"/>
  <c r="I1427" i="6"/>
  <c r="I1426" i="6" s="1"/>
  <c r="J1274" i="5"/>
  <c r="J1273" i="5" s="1"/>
  <c r="J1272" i="5" s="1"/>
  <c r="J168" i="5"/>
  <c r="J164" i="5" s="1"/>
  <c r="J29" i="5"/>
  <c r="J54" i="5"/>
  <c r="J189" i="5"/>
  <c r="J188" i="5" s="1"/>
  <c r="J187" i="5" s="1"/>
  <c r="G30" i="1" s="1"/>
  <c r="J578" i="5"/>
  <c r="J577" i="5" s="1"/>
  <c r="J576" i="5" s="1"/>
  <c r="J570" i="5" s="1"/>
  <c r="J1192" i="5"/>
  <c r="J1191" i="5" s="1"/>
  <c r="J822" i="5"/>
  <c r="J821" i="5" s="1"/>
  <c r="J84" i="5"/>
  <c r="J1311" i="5"/>
  <c r="J1310" i="5" s="1"/>
  <c r="J1309" i="5" s="1"/>
  <c r="J1308" i="5" s="1"/>
  <c r="J1307" i="5" s="1"/>
  <c r="J1306" i="5" s="1"/>
  <c r="J1298" i="5"/>
  <c r="J1163" i="5"/>
  <c r="J1162" i="5" s="1"/>
  <c r="J1158" i="5" s="1"/>
  <c r="J1107" i="5"/>
  <c r="J1103" i="5" s="1"/>
  <c r="J1095" i="5"/>
  <c r="J1094" i="5" s="1"/>
  <c r="J1089" i="5"/>
  <c r="J1039" i="5"/>
  <c r="J1038" i="5" s="1"/>
  <c r="J1024" i="5"/>
  <c r="J1023" i="5" s="1"/>
  <c r="J977" i="5"/>
  <c r="J949" i="5"/>
  <c r="J948" i="5" s="1"/>
  <c r="J947" i="5" s="1"/>
  <c r="J946" i="5" s="1"/>
  <c r="J900" i="5"/>
  <c r="J899" i="5" s="1"/>
  <c r="J898" i="5" s="1"/>
  <c r="J869" i="5"/>
  <c r="J868" i="5" s="1"/>
  <c r="J867" i="5" s="1"/>
  <c r="J866" i="5" s="1"/>
  <c r="J865" i="5" s="1"/>
  <c r="J851" i="5"/>
  <c r="J753" i="5"/>
  <c r="J720" i="5"/>
  <c r="J719" i="5" s="1"/>
  <c r="J627" i="5"/>
  <c r="J626" i="5" s="1"/>
  <c r="J622" i="5" s="1"/>
  <c r="J621" i="5" s="1"/>
  <c r="J620" i="5" s="1"/>
  <c r="J619" i="5" s="1"/>
  <c r="J586" i="5"/>
  <c r="J585" i="5" s="1"/>
  <c r="J584" i="5" s="1"/>
  <c r="J583" i="5" s="1"/>
  <c r="G38" i="1" s="1"/>
  <c r="J507" i="5"/>
  <c r="J506" i="5" s="1"/>
  <c r="J505" i="5" s="1"/>
  <c r="J504" i="5" s="1"/>
  <c r="J503" i="5" s="1"/>
  <c r="J468" i="5"/>
  <c r="J467" i="5" s="1"/>
  <c r="J466" i="5" s="1"/>
  <c r="J465" i="5" s="1"/>
  <c r="J464" i="5" s="1"/>
  <c r="J435" i="5"/>
  <c r="J434" i="5" s="1"/>
  <c r="J433" i="5" s="1"/>
  <c r="J432" i="5" s="1"/>
  <c r="J347" i="5"/>
  <c r="J346" i="5" s="1"/>
  <c r="J339" i="5"/>
  <c r="J335" i="5" s="1"/>
  <c r="J276" i="5"/>
  <c r="J271" i="5"/>
  <c r="J233" i="5"/>
  <c r="J229" i="5" s="1"/>
  <c r="J219" i="5"/>
  <c r="J199" i="5"/>
  <c r="J195" i="5" s="1"/>
  <c r="J179" i="5"/>
  <c r="J178" i="5" s="1"/>
  <c r="J177" i="5" s="1"/>
  <c r="J114" i="5"/>
  <c r="J113" i="5" s="1"/>
  <c r="J103" i="5"/>
  <c r="J96" i="5"/>
  <c r="J95" i="5" s="1"/>
  <c r="J63" i="5"/>
  <c r="J47" i="5"/>
  <c r="J39" i="5"/>
  <c r="J38" i="5" s="1"/>
  <c r="J37" i="5"/>
  <c r="G23" i="1" s="1"/>
  <c r="J24" i="5"/>
  <c r="J914" i="5"/>
  <c r="G25" i="1" s="1"/>
  <c r="J915" i="5"/>
  <c r="J710" i="5"/>
  <c r="J742" i="5"/>
  <c r="J154" i="5"/>
  <c r="J249" i="5"/>
  <c r="J300" i="5"/>
  <c r="J405" i="5"/>
  <c r="J404" i="5" s="1"/>
  <c r="J554" i="5"/>
  <c r="J553" i="5" s="1"/>
  <c r="J539" i="5" s="1"/>
  <c r="J877" i="5"/>
  <c r="J876" i="5" s="1"/>
  <c r="G56" i="1" s="1"/>
  <c r="J928" i="5"/>
  <c r="J927" i="5" s="1"/>
  <c r="J926" i="5" s="1"/>
  <c r="J1044" i="5"/>
  <c r="J1236" i="5"/>
  <c r="J134" i="5"/>
  <c r="J128" i="5" s="1"/>
  <c r="J77" i="5"/>
  <c r="J76" i="5" s="1"/>
  <c r="J144" i="5"/>
  <c r="J311" i="5"/>
  <c r="J445" i="5"/>
  <c r="J444" i="5" s="1"/>
  <c r="J443" i="5" s="1"/>
  <c r="J612" i="5"/>
  <c r="J611" i="5" s="1"/>
  <c r="J610" i="5" s="1"/>
  <c r="J636" i="5"/>
  <c r="J674" i="5"/>
  <c r="J694" i="5"/>
  <c r="J693" i="5" s="1"/>
  <c r="J775" i="5"/>
  <c r="J774" i="5" s="1"/>
  <c r="J959" i="5"/>
  <c r="J958" i="5" s="1"/>
  <c r="J957" i="5" s="1"/>
  <c r="J956" i="5" s="1"/>
  <c r="J1013" i="5"/>
  <c r="J1067" i="5"/>
  <c r="J1066" i="5" s="1"/>
  <c r="G59" i="1" s="1"/>
  <c r="J1130" i="5"/>
  <c r="J1169" i="5"/>
  <c r="J1184" i="5"/>
  <c r="J1220" i="5"/>
  <c r="J1219" i="5" s="1"/>
  <c r="J1218" i="5" s="1"/>
  <c r="J1256" i="5"/>
  <c r="J212" i="5"/>
  <c r="J211" i="5" s="1"/>
  <c r="J210" i="5" s="1"/>
  <c r="J1052" i="5"/>
  <c r="J1235" i="5" l="1"/>
  <c r="J1234" i="5" s="1"/>
  <c r="I714" i="6"/>
  <c r="J714" i="6" s="1"/>
  <c r="L714" i="6" s="1"/>
  <c r="N714" i="6" s="1"/>
  <c r="J715" i="6"/>
  <c r="L715" i="6" s="1"/>
  <c r="N715" i="6" s="1"/>
  <c r="J897" i="5"/>
  <c r="J896" i="5" s="1"/>
  <c r="J895" i="5" s="1"/>
  <c r="J894" i="5" s="1"/>
  <c r="J843" i="5"/>
  <c r="J842" i="5" s="1"/>
  <c r="G47" i="1" s="1"/>
  <c r="G37" i="1"/>
  <c r="J1292" i="5"/>
  <c r="J1291" i="5" s="1"/>
  <c r="J1290" i="5" s="1"/>
  <c r="J1289" i="5" s="1"/>
  <c r="J1037" i="5"/>
  <c r="J1036" i="5" s="1"/>
  <c r="G50" i="1" s="1"/>
  <c r="J282" i="5"/>
  <c r="J864" i="5"/>
  <c r="J334" i="5"/>
  <c r="G46" i="1" s="1"/>
  <c r="G44" i="1"/>
  <c r="J1085" i="5"/>
  <c r="J1084" i="5" s="1"/>
  <c r="G61" i="1" s="1"/>
  <c r="G58" i="1" s="1"/>
  <c r="I182" i="6"/>
  <c r="I914" i="6"/>
  <c r="I913" i="6" s="1"/>
  <c r="I1205" i="6"/>
  <c r="I1185" i="6" s="1"/>
  <c r="I217" i="6"/>
  <c r="I1352" i="6"/>
  <c r="I1351" i="6" s="1"/>
  <c r="I1350" i="6" s="1"/>
  <c r="I1343" i="6" s="1"/>
  <c r="I1342" i="6" s="1"/>
  <c r="I108" i="6"/>
  <c r="I402" i="6"/>
  <c r="I401" i="6" s="1"/>
  <c r="I386" i="6" s="1"/>
  <c r="I632" i="6"/>
  <c r="I626" i="6" s="1"/>
  <c r="I476" i="6"/>
  <c r="I459" i="6" s="1"/>
  <c r="I68" i="6"/>
  <c r="I67" i="6" s="1"/>
  <c r="I56" i="6" s="1"/>
  <c r="I264" i="6"/>
  <c r="I23" i="6"/>
  <c r="J538" i="5"/>
  <c r="G36" i="1"/>
  <c r="J497" i="5"/>
  <c r="G45" i="1"/>
  <c r="J23" i="5"/>
  <c r="J22" i="5" s="1"/>
  <c r="J21" i="5" s="1"/>
  <c r="J20" i="5" s="1"/>
  <c r="G22" i="1" s="1"/>
  <c r="I133" i="6"/>
  <c r="I132" i="6" s="1"/>
  <c r="I131" i="6" s="1"/>
  <c r="J442" i="5"/>
  <c r="G63" i="1"/>
  <c r="G62" i="1" s="1"/>
  <c r="J456" i="5"/>
  <c r="J455" i="5" s="1"/>
  <c r="G21" i="1"/>
  <c r="J1168" i="5"/>
  <c r="J1157" i="5" s="1"/>
  <c r="J976" i="5"/>
  <c r="J975" i="5" s="1"/>
  <c r="G49" i="1" s="1"/>
  <c r="J1113" i="5"/>
  <c r="I1005" i="6" s="1"/>
  <c r="I1004" i="6" s="1"/>
  <c r="I1003" i="6" s="1"/>
  <c r="I1006" i="6"/>
  <c r="J270" i="5"/>
  <c r="J269" i="5" s="1"/>
  <c r="J268" i="5" s="1"/>
  <c r="I582" i="6"/>
  <c r="I438" i="6"/>
  <c r="I437" i="6" s="1"/>
  <c r="I783" i="6"/>
  <c r="I774" i="6" s="1"/>
  <c r="J393" i="5"/>
  <c r="J366" i="5" s="1"/>
  <c r="I545" i="6"/>
  <c r="I870" i="6"/>
  <c r="I1087" i="6"/>
  <c r="I1064" i="6" s="1"/>
  <c r="J1129" i="5"/>
  <c r="J75" i="5"/>
  <c r="J46" i="5"/>
  <c r="J45" i="5" s="1"/>
  <c r="J1217" i="5"/>
  <c r="J635" i="5"/>
  <c r="J634" i="5" s="1"/>
  <c r="G42" i="1" s="1"/>
  <c r="J228" i="5"/>
  <c r="J194" i="5"/>
  <c r="G33" i="1" s="1"/>
  <c r="J709" i="5"/>
  <c r="J143" i="5"/>
  <c r="J142" i="5" s="1"/>
  <c r="I703" i="6" l="1"/>
  <c r="I702" i="6" s="1"/>
  <c r="G24" i="1"/>
  <c r="G57" i="1"/>
  <c r="J281" i="5"/>
  <c r="G48" i="1"/>
  <c r="J974" i="5"/>
  <c r="J945" i="5" s="1"/>
  <c r="G35" i="1"/>
  <c r="J708" i="5"/>
  <c r="G43" i="1" s="1"/>
  <c r="G41" i="1" s="1"/>
  <c r="J44" i="5"/>
  <c r="J19" i="5" s="1"/>
  <c r="J1102" i="5"/>
  <c r="J1101" i="5" s="1"/>
  <c r="J489" i="5"/>
  <c r="J1065" i="5"/>
  <c r="J1051" i="5" s="1"/>
  <c r="I107" i="6"/>
  <c r="I17" i="6" s="1"/>
  <c r="J267" i="5"/>
  <c r="G40" i="1"/>
  <c r="G39" i="1" s="1"/>
  <c r="J141" i="5"/>
  <c r="G28" i="1"/>
  <c r="G27" i="1" s="1"/>
  <c r="G34" i="1"/>
  <c r="J357" i="5"/>
  <c r="G55" i="1"/>
  <c r="I912" i="6"/>
  <c r="J1128" i="5"/>
  <c r="G32" i="1" s="1"/>
  <c r="J186" i="5"/>
  <c r="J633" i="5"/>
  <c r="J632" i="5" s="1"/>
  <c r="G53" i="1" l="1"/>
  <c r="G26" i="1"/>
  <c r="G19" i="1" s="1"/>
  <c r="I1464" i="6"/>
  <c r="I1466" i="6" s="1"/>
  <c r="J18" i="5"/>
  <c r="J1118" i="5"/>
  <c r="J1100" i="5" s="1"/>
  <c r="J1323" i="5" l="1"/>
  <c r="J1325" i="5" s="1"/>
  <c r="I1468" i="6" s="1"/>
  <c r="G29" i="1"/>
  <c r="G66" i="1" l="1"/>
  <c r="G68" i="1" l="1"/>
  <c r="G1012" i="6" l="1"/>
  <c r="G1011" i="6" s="1"/>
  <c r="I1150" i="5"/>
  <c r="K1150" i="5" s="1"/>
  <c r="M1150" i="5" s="1"/>
  <c r="O1150" i="5" s="1"/>
  <c r="H1149" i="5"/>
  <c r="I1149" i="5" s="1"/>
  <c r="K1149" i="5" s="1"/>
  <c r="M1149" i="5" s="1"/>
  <c r="O1149" i="5" s="1"/>
  <c r="H1133" i="5"/>
  <c r="A1012" i="6"/>
  <c r="A1150" i="5"/>
  <c r="A1148" i="5"/>
  <c r="A1011" i="6"/>
  <c r="A1149" i="5"/>
  <c r="H1012" i="6" l="1"/>
  <c r="J1012" i="6" s="1"/>
  <c r="L1012" i="6" s="1"/>
  <c r="N1012" i="6" s="1"/>
  <c r="H1011" i="6"/>
  <c r="J1011" i="6" s="1"/>
  <c r="L1011" i="6" s="1"/>
  <c r="N1011" i="6" s="1"/>
  <c r="G1010" i="6"/>
  <c r="H1010" i="6" s="1"/>
  <c r="J1010" i="6" s="1"/>
  <c r="L1010" i="6" s="1"/>
  <c r="N1010" i="6" s="1"/>
  <c r="H1148" i="5"/>
  <c r="I1148" i="5" s="1"/>
  <c r="K1148" i="5" s="1"/>
  <c r="M1148" i="5" s="1"/>
  <c r="O1148" i="5" s="1"/>
  <c r="F67" i="1"/>
  <c r="H67" i="1" s="1"/>
  <c r="J67" i="1" s="1"/>
  <c r="L67" i="1" s="1"/>
  <c r="E33" i="1"/>
  <c r="G1465" i="6"/>
  <c r="G1463" i="6"/>
  <c r="G1462" i="6" s="1"/>
  <c r="G1461" i="6" s="1"/>
  <c r="G1460" i="6" s="1"/>
  <c r="G1459" i="6"/>
  <c r="G1458" i="6" s="1"/>
  <c r="G1457" i="6"/>
  <c r="G1456" i="6" s="1"/>
  <c r="G1452" i="6"/>
  <c r="G1451" i="6" s="1"/>
  <c r="G1450" i="6" s="1"/>
  <c r="G1449" i="6" s="1"/>
  <c r="G1448" i="6" s="1"/>
  <c r="G1446" i="6"/>
  <c r="G1445" i="6" s="1"/>
  <c r="G1444" i="6" s="1"/>
  <c r="G1443" i="6" s="1"/>
  <c r="G1442" i="6" s="1"/>
  <c r="G1441" i="6" s="1"/>
  <c r="G1440" i="6"/>
  <c r="G1439" i="6" s="1"/>
  <c r="G1438" i="6" s="1"/>
  <c r="G1437" i="6" s="1"/>
  <c r="G1436" i="6" s="1"/>
  <c r="G1435" i="6"/>
  <c r="G1434" i="6" s="1"/>
  <c r="G1433" i="6" s="1"/>
  <c r="G1432" i="6" s="1"/>
  <c r="G1431" i="6"/>
  <c r="G1430" i="6" s="1"/>
  <c r="G1429" i="6" s="1"/>
  <c r="G1428" i="6" s="1"/>
  <c r="G1425" i="6"/>
  <c r="G1424" i="6" s="1"/>
  <c r="G1423" i="6" s="1"/>
  <c r="G1422" i="6" s="1"/>
  <c r="G1421" i="6"/>
  <c r="G1420" i="6" s="1"/>
  <c r="G1419" i="6"/>
  <c r="G1418" i="6" s="1"/>
  <c r="G1413" i="6"/>
  <c r="G1412" i="6" s="1"/>
  <c r="G1411" i="6" s="1"/>
  <c r="G1410" i="6" s="1"/>
  <c r="G1409" i="6"/>
  <c r="G1408" i="6" s="1"/>
  <c r="G1407" i="6"/>
  <c r="G1406" i="6" s="1"/>
  <c r="G1405" i="6"/>
  <c r="G1404" i="6" s="1"/>
  <c r="G1388" i="6"/>
  <c r="G1387" i="6" s="1"/>
  <c r="G1386" i="6" s="1"/>
  <c r="G1385" i="6" s="1"/>
  <c r="G1384" i="6" s="1"/>
  <c r="G1383" i="6"/>
  <c r="G1382" i="6" s="1"/>
  <c r="G1381" i="6" s="1"/>
  <c r="G1380" i="6" s="1"/>
  <c r="G1379" i="6" s="1"/>
  <c r="G1378" i="6"/>
  <c r="G1377" i="6" s="1"/>
  <c r="G1376" i="6"/>
  <c r="G1375" i="6" s="1"/>
  <c r="G1371" i="6"/>
  <c r="G1370" i="6" s="1"/>
  <c r="G1369" i="6" s="1"/>
  <c r="G1368" i="6" s="1"/>
  <c r="G1367" i="6" s="1"/>
  <c r="G1366" i="6"/>
  <c r="G1365" i="6" s="1"/>
  <c r="G1364" i="6" s="1"/>
  <c r="G1363" i="6" s="1"/>
  <c r="G1362" i="6"/>
  <c r="G1361" i="6" s="1"/>
  <c r="G1360" i="6"/>
  <c r="G1359" i="6" s="1"/>
  <c r="G1357" i="6"/>
  <c r="G1356" i="6" s="1"/>
  <c r="G1355" i="6"/>
  <c r="G1354" i="6" s="1"/>
  <c r="G1349" i="6"/>
  <c r="G1348" i="6" s="1"/>
  <c r="G1347" i="6" s="1"/>
  <c r="G1346" i="6" s="1"/>
  <c r="G1345" i="6" s="1"/>
  <c r="G1344" i="6" s="1"/>
  <c r="G1341" i="6"/>
  <c r="G1340" i="6" s="1"/>
  <c r="G1339" i="6" s="1"/>
  <c r="G1338" i="6" s="1"/>
  <c r="G1337" i="6" s="1"/>
  <c r="G1336" i="6" s="1"/>
  <c r="G1323" i="6"/>
  <c r="G1322" i="6" s="1"/>
  <c r="G1321" i="6" s="1"/>
  <c r="G1320" i="6" s="1"/>
  <c r="G1319" i="6" s="1"/>
  <c r="G1318" i="6"/>
  <c r="G1317" i="6" s="1"/>
  <c r="G1316" i="6" s="1"/>
  <c r="G1315" i="6" s="1"/>
  <c r="G1314" i="6"/>
  <c r="G1313" i="6" s="1"/>
  <c r="G1312" i="6" s="1"/>
  <c r="G1311" i="6" s="1"/>
  <c r="G1310" i="6"/>
  <c r="G1309" i="6" s="1"/>
  <c r="G1308" i="6" s="1"/>
  <c r="G1307" i="6" s="1"/>
  <c r="G1306" i="6"/>
  <c r="G1305" i="6" s="1"/>
  <c r="G1304" i="6"/>
  <c r="G1303" i="6" s="1"/>
  <c r="G1302" i="6"/>
  <c r="G1301" i="6" s="1"/>
  <c r="G1298" i="6"/>
  <c r="G1297" i="6" s="1"/>
  <c r="G1296" i="6" s="1"/>
  <c r="G1295" i="6" s="1"/>
  <c r="G1293" i="6"/>
  <c r="G1292" i="6" s="1"/>
  <c r="G1291" i="6" s="1"/>
  <c r="G1290" i="6" s="1"/>
  <c r="G1289" i="6" s="1"/>
  <c r="G1281" i="6"/>
  <c r="G1280" i="6" s="1"/>
  <c r="G1279" i="6" s="1"/>
  <c r="G1278" i="6" s="1"/>
  <c r="G1277" i="6" s="1"/>
  <c r="G1276" i="6"/>
  <c r="G1275" i="6" s="1"/>
  <c r="G1274" i="6"/>
  <c r="G1273" i="6" s="1"/>
  <c r="G1272" i="6"/>
  <c r="G1271" i="6" s="1"/>
  <c r="G1268" i="6"/>
  <c r="G1267" i="6" s="1"/>
  <c r="G1266" i="6" s="1"/>
  <c r="G1265" i="6" s="1"/>
  <c r="G1263" i="6"/>
  <c r="G1262" i="6" s="1"/>
  <c r="G1261" i="6" s="1"/>
  <c r="G1260" i="6" s="1"/>
  <c r="G1259" i="6" s="1"/>
  <c r="G1258" i="6"/>
  <c r="G1257" i="6" s="1"/>
  <c r="G1256" i="6" s="1"/>
  <c r="G1255" i="6" s="1"/>
  <c r="G1254" i="6" s="1"/>
  <c r="G1252" i="6"/>
  <c r="G1251" i="6" s="1"/>
  <c r="G1250" i="6" s="1"/>
  <c r="G1249" i="6" s="1"/>
  <c r="G1248" i="6" s="1"/>
  <c r="G1247" i="6"/>
  <c r="G1246" i="6" s="1"/>
  <c r="G1245" i="6" s="1"/>
  <c r="G1244" i="6" s="1"/>
  <c r="G1243" i="6"/>
  <c r="G1242" i="6" s="1"/>
  <c r="G1241" i="6" s="1"/>
  <c r="G1240" i="6" s="1"/>
  <c r="G1237" i="6"/>
  <c r="G1236" i="6" s="1"/>
  <c r="G1235" i="6" s="1"/>
  <c r="G1234" i="6" s="1"/>
  <c r="G1233" i="6" s="1"/>
  <c r="G1231" i="6"/>
  <c r="G1230" i="6" s="1"/>
  <c r="G1229" i="6" s="1"/>
  <c r="G1228" i="6" s="1"/>
  <c r="G1227" i="6" s="1"/>
  <c r="G1226" i="6" s="1"/>
  <c r="G1223" i="6"/>
  <c r="G1222" i="6" s="1"/>
  <c r="G1221" i="6" s="1"/>
  <c r="G1220" i="6" s="1"/>
  <c r="G1219" i="6"/>
  <c r="G1218" i="6" s="1"/>
  <c r="G1217" i="6" s="1"/>
  <c r="G1216" i="6" s="1"/>
  <c r="G1214" i="6"/>
  <c r="G1213" i="6" s="1"/>
  <c r="G1212" i="6" s="1"/>
  <c r="G1211" i="6" s="1"/>
  <c r="G1210" i="6"/>
  <c r="G1209" i="6" s="1"/>
  <c r="G1208" i="6" s="1"/>
  <c r="G1207" i="6" s="1"/>
  <c r="G1204" i="6"/>
  <c r="G1203" i="6" s="1"/>
  <c r="G1202" i="6" s="1"/>
  <c r="G1201" i="6" s="1"/>
  <c r="G1200" i="6"/>
  <c r="G1199" i="6" s="1"/>
  <c r="G1198" i="6"/>
  <c r="G1197" i="6" s="1"/>
  <c r="G1196" i="6"/>
  <c r="G1195" i="6" s="1"/>
  <c r="G1191" i="6"/>
  <c r="G1190" i="6" s="1"/>
  <c r="G1189" i="6" s="1"/>
  <c r="G1188" i="6" s="1"/>
  <c r="G1187" i="6" s="1"/>
  <c r="G1184" i="6"/>
  <c r="G1183" i="6" s="1"/>
  <c r="G1182" i="6" s="1"/>
  <c r="G1181" i="6" s="1"/>
  <c r="G1180" i="6" s="1"/>
  <c r="G1179" i="6"/>
  <c r="G1178" i="6" s="1"/>
  <c r="G1177" i="6" s="1"/>
  <c r="G1176" i="6" s="1"/>
  <c r="G1175" i="6" s="1"/>
  <c r="G1173" i="6"/>
  <c r="G1172" i="6" s="1"/>
  <c r="G1171" i="6" s="1"/>
  <c r="G1170" i="6" s="1"/>
  <c r="G1169" i="6" s="1"/>
  <c r="G1167" i="6"/>
  <c r="G1166" i="6" s="1"/>
  <c r="G1165" i="6" s="1"/>
  <c r="G1164" i="6" s="1"/>
  <c r="G1163" i="6"/>
  <c r="G1162" i="6" s="1"/>
  <c r="G1161" i="6"/>
  <c r="G1160" i="6" s="1"/>
  <c r="G1156" i="6"/>
  <c r="G1155" i="6" s="1"/>
  <c r="G1154" i="6" s="1"/>
  <c r="G1153" i="6" s="1"/>
  <c r="G1152" i="6" s="1"/>
  <c r="G1150" i="6"/>
  <c r="G1149" i="6" s="1"/>
  <c r="G1148" i="6" s="1"/>
  <c r="G1147" i="6" s="1"/>
  <c r="G1146" i="6" s="1"/>
  <c r="G1145" i="6"/>
  <c r="G1144" i="6" s="1"/>
  <c r="G1143" i="6" s="1"/>
  <c r="G1142" i="6"/>
  <c r="G1141" i="6" s="1"/>
  <c r="G1140" i="6" s="1"/>
  <c r="G1138" i="6"/>
  <c r="G1137" i="6" s="1"/>
  <c r="G1136" i="6" s="1"/>
  <c r="G1135" i="6" s="1"/>
  <c r="G1133" i="6"/>
  <c r="G1132" i="6" s="1"/>
  <c r="G1131" i="6" s="1"/>
  <c r="G1130" i="6" s="1"/>
  <c r="G1129" i="6"/>
  <c r="G1128" i="6" s="1"/>
  <c r="G1127" i="6" s="1"/>
  <c r="G1126" i="6" s="1"/>
  <c r="G1124" i="6"/>
  <c r="G1123" i="6" s="1"/>
  <c r="G1122" i="6" s="1"/>
  <c r="G1121" i="6"/>
  <c r="G1120" i="6" s="1"/>
  <c r="G1119" i="6" s="1"/>
  <c r="G1116" i="6"/>
  <c r="G1115" i="6" s="1"/>
  <c r="G1114" i="6" s="1"/>
  <c r="G1113" i="6" s="1"/>
  <c r="G1112" i="6"/>
  <c r="G1111" i="6" s="1"/>
  <c r="G1110" i="6" s="1"/>
  <c r="G1109" i="6" s="1"/>
  <c r="G1107" i="6"/>
  <c r="G1106" i="6" s="1"/>
  <c r="G1105" i="6" s="1"/>
  <c r="G1104" i="6" s="1"/>
  <c r="G1103" i="6"/>
  <c r="G1102" i="6" s="1"/>
  <c r="G1101" i="6" s="1"/>
  <c r="G1100" i="6"/>
  <c r="G1099" i="6" s="1"/>
  <c r="G1098" i="6" s="1"/>
  <c r="G1097" i="6"/>
  <c r="G1096" i="6"/>
  <c r="G1092" i="6"/>
  <c r="G1091" i="6" s="1"/>
  <c r="G1090" i="6" s="1"/>
  <c r="G1089" i="6" s="1"/>
  <c r="G1086" i="6"/>
  <c r="G1085" i="6" s="1"/>
  <c r="G1084" i="6" s="1"/>
  <c r="G1083" i="6" s="1"/>
  <c r="G1082" i="6"/>
  <c r="G1081" i="6" s="1"/>
  <c r="G1080" i="6" s="1"/>
  <c r="G1079" i="6" s="1"/>
  <c r="G1077" i="6"/>
  <c r="G1076" i="6" s="1"/>
  <c r="G1075" i="6" s="1"/>
  <c r="G1074" i="6" s="1"/>
  <c r="G1073" i="6"/>
  <c r="G1072" i="6" s="1"/>
  <c r="G1071" i="6"/>
  <c r="G1070" i="6" s="1"/>
  <c r="G1069" i="6"/>
  <c r="G1068" i="6" s="1"/>
  <c r="G1063" i="6"/>
  <c r="G1062" i="6" s="1"/>
  <c r="G1061" i="6" s="1"/>
  <c r="G1060" i="6" s="1"/>
  <c r="G1059" i="6"/>
  <c r="G1058" i="6" s="1"/>
  <c r="G1057" i="6"/>
  <c r="G1056" i="6" s="1"/>
  <c r="G1055" i="6"/>
  <c r="G1054" i="6" s="1"/>
  <c r="G1040" i="6"/>
  <c r="G1039" i="6" s="1"/>
  <c r="G1038" i="6" s="1"/>
  <c r="G1037" i="6" s="1"/>
  <c r="G1036" i="6" s="1"/>
  <c r="G1035" i="6"/>
  <c r="G1034" i="6" s="1"/>
  <c r="G1033" i="6" s="1"/>
  <c r="G1032" i="6" s="1"/>
  <c r="G1031" i="6" s="1"/>
  <c r="G1030" i="6"/>
  <c r="G1029" i="6" s="1"/>
  <c r="G1028" i="6" s="1"/>
  <c r="G1027" i="6" s="1"/>
  <c r="G1026" i="6"/>
  <c r="G1025" i="6" s="1"/>
  <c r="G1024" i="6" s="1"/>
  <c r="G1020" i="6" s="1"/>
  <c r="G1023" i="6"/>
  <c r="G1019" i="6"/>
  <c r="G1018" i="6" s="1"/>
  <c r="G1017" i="6" s="1"/>
  <c r="G1016" i="6" s="1"/>
  <c r="G1015" i="6"/>
  <c r="G1014" i="6" s="1"/>
  <c r="G1013" i="6" s="1"/>
  <c r="G1008" i="6"/>
  <c r="G992" i="6"/>
  <c r="G991" i="6" s="1"/>
  <c r="G990" i="6" s="1"/>
  <c r="G989" i="6" s="1"/>
  <c r="G988" i="6" s="1"/>
  <c r="G987" i="6"/>
  <c r="G986" i="6" s="1"/>
  <c r="G985" i="6" s="1"/>
  <c r="G984" i="6" s="1"/>
  <c r="G983" i="6" s="1"/>
  <c r="G981" i="6"/>
  <c r="G980" i="6" s="1"/>
  <c r="G979" i="6" s="1"/>
  <c r="G978" i="6" s="1"/>
  <c r="G977" i="6" s="1"/>
  <c r="G976" i="6"/>
  <c r="G975" i="6" s="1"/>
  <c r="G974" i="6" s="1"/>
  <c r="G973" i="6" s="1"/>
  <c r="G972" i="6" s="1"/>
  <c r="G971" i="6"/>
  <c r="G970" i="6" s="1"/>
  <c r="G969" i="6" s="1"/>
  <c r="G968" i="6" s="1"/>
  <c r="G967" i="6" s="1"/>
  <c r="G966" i="6"/>
  <c r="G965" i="6" s="1"/>
  <c r="G964" i="6" s="1"/>
  <c r="G963" i="6" s="1"/>
  <c r="G962" i="6" s="1"/>
  <c r="G956" i="6"/>
  <c r="G955" i="6" s="1"/>
  <c r="G954" i="6" s="1"/>
  <c r="G953" i="6" s="1"/>
  <c r="G952" i="6" s="1"/>
  <c r="G951" i="6"/>
  <c r="G950" i="6" s="1"/>
  <c r="G949" i="6" s="1"/>
  <c r="G948" i="6" s="1"/>
  <c r="G947" i="6" s="1"/>
  <c r="G946" i="6"/>
  <c r="G945" i="6" s="1"/>
  <c r="G944" i="6" s="1"/>
  <c r="G943" i="6" s="1"/>
  <c r="G942" i="6" s="1"/>
  <c r="G941" i="6"/>
  <c r="G940" i="6" s="1"/>
  <c r="G939" i="6" s="1"/>
  <c r="G938" i="6" s="1"/>
  <c r="G937" i="6" s="1"/>
  <c r="G936" i="6"/>
  <c r="G935" i="6" s="1"/>
  <c r="G934" i="6" s="1"/>
  <c r="G933" i="6"/>
  <c r="G932" i="6" s="1"/>
  <c r="G931" i="6" s="1"/>
  <c r="G929" i="6"/>
  <c r="G928" i="6" s="1"/>
  <c r="G927" i="6" s="1"/>
  <c r="G926" i="6"/>
  <c r="G925" i="6" s="1"/>
  <c r="G924" i="6" s="1"/>
  <c r="G922" i="6"/>
  <c r="G921" i="6" s="1"/>
  <c r="G920" i="6" s="1"/>
  <c r="G919" i="6" s="1"/>
  <c r="G918" i="6"/>
  <c r="G917" i="6" s="1"/>
  <c r="G916" i="6" s="1"/>
  <c r="G915" i="6" s="1"/>
  <c r="G911" i="6"/>
  <c r="G910" i="6" s="1"/>
  <c r="G909" i="6"/>
  <c r="G908" i="6" s="1"/>
  <c r="G903" i="6"/>
  <c r="G902" i="6" s="1"/>
  <c r="G901" i="6" s="1"/>
  <c r="G900" i="6" s="1"/>
  <c r="G899" i="6" s="1"/>
  <c r="G897" i="6"/>
  <c r="G895" i="6"/>
  <c r="G894" i="6" s="1"/>
  <c r="G890" i="6"/>
  <c r="G889" i="6" s="1"/>
  <c r="G888" i="6" s="1"/>
  <c r="G887" i="6" s="1"/>
  <c r="G886" i="6"/>
  <c r="G885" i="6" s="1"/>
  <c r="G884" i="6" s="1"/>
  <c r="G883" i="6" s="1"/>
  <c r="G882" i="6"/>
  <c r="G881" i="6" s="1"/>
  <c r="G880" i="6" s="1"/>
  <c r="G879" i="6"/>
  <c r="G878" i="6" s="1"/>
  <c r="G877" i="6" s="1"/>
  <c r="G875" i="6"/>
  <c r="G874" i="6" s="1"/>
  <c r="G873" i="6" s="1"/>
  <c r="G872" i="6" s="1"/>
  <c r="G864" i="6"/>
  <c r="G863" i="6" s="1"/>
  <c r="G862" i="6" s="1"/>
  <c r="G861" i="6" s="1"/>
  <c r="G860" i="6" s="1"/>
  <c r="G859" i="6"/>
  <c r="G858" i="6" s="1"/>
  <c r="G857" i="6" s="1"/>
  <c r="G856" i="6" s="1"/>
  <c r="G855" i="6" s="1"/>
  <c r="G854" i="6"/>
  <c r="G853" i="6" s="1"/>
  <c r="G852" i="6" s="1"/>
  <c r="G851" i="6" s="1"/>
  <c r="G850" i="6" s="1"/>
  <c r="G849" i="6"/>
  <c r="G848" i="6" s="1"/>
  <c r="G847" i="6" s="1"/>
  <c r="G846" i="6" s="1"/>
  <c r="G845" i="6" s="1"/>
  <c r="G843" i="6"/>
  <c r="G842" i="6" s="1"/>
  <c r="G841" i="6" s="1"/>
  <c r="G840" i="6" s="1"/>
  <c r="G839" i="6" s="1"/>
  <c r="G838" i="6" s="1"/>
  <c r="G837" i="6"/>
  <c r="G836" i="6" s="1"/>
  <c r="G835" i="6" s="1"/>
  <c r="G834" i="6" s="1"/>
  <c r="G833" i="6" s="1"/>
  <c r="G832" i="6"/>
  <c r="G831" i="6" s="1"/>
  <c r="G830" i="6" s="1"/>
  <c r="G829" i="6" s="1"/>
  <c r="G828" i="6" s="1"/>
  <c r="G827" i="6" s="1"/>
  <c r="G826" i="6"/>
  <c r="G825" i="6" s="1"/>
  <c r="G824" i="6" s="1"/>
  <c r="G823" i="6" s="1"/>
  <c r="G822" i="6" s="1"/>
  <c r="G821" i="6" s="1"/>
  <c r="G820" i="6"/>
  <c r="G819" i="6" s="1"/>
  <c r="G818" i="6" s="1"/>
  <c r="G817" i="6" s="1"/>
  <c r="G816" i="6"/>
  <c r="G815" i="6" s="1"/>
  <c r="G814" i="6" s="1"/>
  <c r="G813" i="6" s="1"/>
  <c r="G811" i="6"/>
  <c r="G810" i="6" s="1"/>
  <c r="G809" i="6" s="1"/>
  <c r="G808" i="6" s="1"/>
  <c r="G807" i="6" s="1"/>
  <c r="G806" i="6"/>
  <c r="G805" i="6" s="1"/>
  <c r="G804" i="6" s="1"/>
  <c r="G803" i="6" s="1"/>
  <c r="G802" i="6" s="1"/>
  <c r="G801" i="6"/>
  <c r="G799" i="6" s="1"/>
  <c r="G798" i="6"/>
  <c r="G797" i="6" s="1"/>
  <c r="G796" i="6"/>
  <c r="G795" i="6" s="1"/>
  <c r="G790" i="6"/>
  <c r="G789" i="6" s="1"/>
  <c r="G788" i="6"/>
  <c r="G787" i="6" s="1"/>
  <c r="G782" i="6"/>
  <c r="G781" i="6" s="1"/>
  <c r="G780" i="6"/>
  <c r="G779" i="6" s="1"/>
  <c r="G773" i="6"/>
  <c r="G772" i="6" s="1"/>
  <c r="G771" i="6"/>
  <c r="G770" i="6" s="1"/>
  <c r="G765" i="6"/>
  <c r="G764" i="6" s="1"/>
  <c r="G763" i="6" s="1"/>
  <c r="G762" i="6" s="1"/>
  <c r="G761" i="6" s="1"/>
  <c r="G759" i="6"/>
  <c r="G758" i="6" s="1"/>
  <c r="G757" i="6" s="1"/>
  <c r="G756" i="6" s="1"/>
  <c r="G755" i="6" s="1"/>
  <c r="G754" i="6" s="1"/>
  <c r="G753" i="6"/>
  <c r="G752" i="6" s="1"/>
  <c r="G751" i="6" s="1"/>
  <c r="G750" i="6" s="1"/>
  <c r="G749" i="6" s="1"/>
  <c r="G746" i="6"/>
  <c r="G745" i="6" s="1"/>
  <c r="G744" i="6" s="1"/>
  <c r="G743" i="6" s="1"/>
  <c r="G742" i="6" s="1"/>
  <c r="G741" i="6" s="1"/>
  <c r="G730" i="6"/>
  <c r="G729" i="6" s="1"/>
  <c r="G728" i="6" s="1"/>
  <c r="G727" i="6" s="1"/>
  <c r="G726" i="6" s="1"/>
  <c r="G725" i="6"/>
  <c r="G724" i="6" s="1"/>
  <c r="G723" i="6" s="1"/>
  <c r="G722" i="6" s="1"/>
  <c r="G721" i="6" s="1"/>
  <c r="G713" i="6"/>
  <c r="G712" i="6" s="1"/>
  <c r="G711" i="6" s="1"/>
  <c r="G710" i="6" s="1"/>
  <c r="G709" i="6" s="1"/>
  <c r="G708" i="6"/>
  <c r="G707" i="6" s="1"/>
  <c r="G706" i="6" s="1"/>
  <c r="G705" i="6" s="1"/>
  <c r="G704" i="6" s="1"/>
  <c r="G701" i="6"/>
  <c r="G700" i="6" s="1"/>
  <c r="G699" i="6" s="1"/>
  <c r="G698" i="6" s="1"/>
  <c r="G697" i="6" s="1"/>
  <c r="G696" i="6"/>
  <c r="G695" i="6" s="1"/>
  <c r="G694" i="6"/>
  <c r="G693" i="6" s="1"/>
  <c r="G692" i="6"/>
  <c r="G691" i="6" s="1"/>
  <c r="G686" i="6"/>
  <c r="G685" i="6" s="1"/>
  <c r="G684" i="6" s="1"/>
  <c r="G683" i="6" s="1"/>
  <c r="G682" i="6" s="1"/>
  <c r="G681" i="6"/>
  <c r="G680" i="6" s="1"/>
  <c r="G679" i="6"/>
  <c r="G678" i="6" s="1"/>
  <c r="G674" i="6"/>
  <c r="G673" i="6" s="1"/>
  <c r="G672" i="6" s="1"/>
  <c r="G671" i="6" s="1"/>
  <c r="G670" i="6" s="1"/>
  <c r="G669" i="6" s="1"/>
  <c r="G668" i="6" s="1"/>
  <c r="G667" i="6"/>
  <c r="G666" i="6" s="1"/>
  <c r="G665" i="6" s="1"/>
  <c r="G664" i="6" s="1"/>
  <c r="G663" i="6" s="1"/>
  <c r="G662" i="6" s="1"/>
  <c r="G661" i="6" s="1"/>
  <c r="G660" i="6"/>
  <c r="G659" i="6" s="1"/>
  <c r="G658" i="6" s="1"/>
  <c r="G657" i="6" s="1"/>
  <c r="G656" i="6" s="1"/>
  <c r="G655" i="6" s="1"/>
  <c r="G654" i="6" s="1"/>
  <c r="G653" i="6"/>
  <c r="G652" i="6" s="1"/>
  <c r="G651" i="6" s="1"/>
  <c r="G650" i="6" s="1"/>
  <c r="G649" i="6" s="1"/>
  <c r="G648" i="6" s="1"/>
  <c r="G647" i="6" s="1"/>
  <c r="G646" i="6"/>
  <c r="G645" i="6" s="1"/>
  <c r="G644" i="6"/>
  <c r="G643" i="6" s="1"/>
  <c r="G639" i="6"/>
  <c r="G638" i="6" s="1"/>
  <c r="G637" i="6"/>
  <c r="G636" i="6" s="1"/>
  <c r="G631" i="6"/>
  <c r="G630" i="6" s="1"/>
  <c r="G629" i="6" s="1"/>
  <c r="G628" i="6" s="1"/>
  <c r="G627" i="6" s="1"/>
  <c r="G602" i="6"/>
  <c r="G601" i="6" s="1"/>
  <c r="G600" i="6" s="1"/>
  <c r="G599" i="6" s="1"/>
  <c r="G598" i="6" s="1"/>
  <c r="G597" i="6"/>
  <c r="G596" i="6" s="1"/>
  <c r="G595" i="6" s="1"/>
  <c r="G594" i="6" s="1"/>
  <c r="G593" i="6" s="1"/>
  <c r="G591" i="6"/>
  <c r="G590" i="6" s="1"/>
  <c r="G589" i="6" s="1"/>
  <c r="G588" i="6" s="1"/>
  <c r="G587" i="6"/>
  <c r="G586" i="6" s="1"/>
  <c r="G585" i="6" s="1"/>
  <c r="G584" i="6" s="1"/>
  <c r="G581" i="6"/>
  <c r="G580" i="6" s="1"/>
  <c r="G579" i="6" s="1"/>
  <c r="G578" i="6" s="1"/>
  <c r="G577" i="6" s="1"/>
  <c r="G576" i="6"/>
  <c r="G575" i="6"/>
  <c r="G569" i="6"/>
  <c r="G568" i="6" s="1"/>
  <c r="G567" i="6"/>
  <c r="G566" i="6" s="1"/>
  <c r="G565" i="6"/>
  <c r="G564" i="6" s="1"/>
  <c r="G562" i="6"/>
  <c r="G561" i="6" s="1"/>
  <c r="G560" i="6" s="1"/>
  <c r="G557" i="6"/>
  <c r="G556" i="6" s="1"/>
  <c r="G555" i="6" s="1"/>
  <c r="G554" i="6" s="1"/>
  <c r="G553" i="6" s="1"/>
  <c r="G552" i="6"/>
  <c r="G551" i="6" s="1"/>
  <c r="G550" i="6"/>
  <c r="G549" i="6" s="1"/>
  <c r="G544" i="6"/>
  <c r="G543" i="6" s="1"/>
  <c r="G542" i="6" s="1"/>
  <c r="G541" i="6" s="1"/>
  <c r="G540" i="6" s="1"/>
  <c r="G539" i="6"/>
  <c r="G538" i="6" s="1"/>
  <c r="G537" i="6" s="1"/>
  <c r="G536" i="6" s="1"/>
  <c r="G535" i="6" s="1"/>
  <c r="G534" i="6"/>
  <c r="G533" i="6" s="1"/>
  <c r="G532" i="6" s="1"/>
  <c r="G531" i="6" s="1"/>
  <c r="G530" i="6" s="1"/>
  <c r="G528" i="6"/>
  <c r="G527" i="6" s="1"/>
  <c r="G526" i="6" s="1"/>
  <c r="G525" i="6" s="1"/>
  <c r="G524" i="6" s="1"/>
  <c r="G523" i="6"/>
  <c r="G522" i="6" s="1"/>
  <c r="G521" i="6" s="1"/>
  <c r="G520" i="6" s="1"/>
  <c r="G519" i="6" s="1"/>
  <c r="G513" i="6"/>
  <c r="G512" i="6" s="1"/>
  <c r="G511" i="6" s="1"/>
  <c r="G510" i="6" s="1"/>
  <c r="G509" i="6" s="1"/>
  <c r="G508" i="6"/>
  <c r="G507" i="6" s="1"/>
  <c r="G506" i="6" s="1"/>
  <c r="G505" i="6" s="1"/>
  <c r="G504" i="6" s="1"/>
  <c r="G502" i="6"/>
  <c r="G501" i="6" s="1"/>
  <c r="G500" i="6" s="1"/>
  <c r="G499" i="6" s="1"/>
  <c r="G498" i="6" s="1"/>
  <c r="G496" i="6"/>
  <c r="G495" i="6" s="1"/>
  <c r="G494" i="6" s="1"/>
  <c r="G493" i="6" s="1"/>
  <c r="G492" i="6" s="1"/>
  <c r="G491" i="6" s="1"/>
  <c r="G490" i="6"/>
  <c r="G489" i="6" s="1"/>
  <c r="G488" i="6"/>
  <c r="G487" i="6" s="1"/>
  <c r="G483" i="6"/>
  <c r="G482" i="6" s="1"/>
  <c r="G481" i="6"/>
  <c r="G480" i="6" s="1"/>
  <c r="G475" i="6"/>
  <c r="G474" i="6" s="1"/>
  <c r="G473" i="6" s="1"/>
  <c r="G472" i="6" s="1"/>
  <c r="G471" i="6" s="1"/>
  <c r="G470" i="6"/>
  <c r="G469" i="6" s="1"/>
  <c r="G468" i="6" s="1"/>
  <c r="G467" i="6"/>
  <c r="G466" i="6" s="1"/>
  <c r="G465" i="6" s="1"/>
  <c r="G464" i="6"/>
  <c r="G463" i="6" s="1"/>
  <c r="G462" i="6" s="1"/>
  <c r="G458" i="6"/>
  <c r="G457" i="6" s="1"/>
  <c r="G456" i="6"/>
  <c r="G455" i="6" s="1"/>
  <c r="G451" i="6"/>
  <c r="G450" i="6" s="1"/>
  <c r="G449" i="6" s="1"/>
  <c r="G448" i="6" s="1"/>
  <c r="G447" i="6"/>
  <c r="G446" i="6" s="1"/>
  <c r="G445" i="6"/>
  <c r="G444" i="6" s="1"/>
  <c r="G443" i="6"/>
  <c r="G442" i="6" s="1"/>
  <c r="G436" i="6"/>
  <c r="G435" i="6" s="1"/>
  <c r="G434" i="6" s="1"/>
  <c r="G433" i="6" s="1"/>
  <c r="G432" i="6" s="1"/>
  <c r="G431" i="6"/>
  <c r="G430" i="6" s="1"/>
  <c r="G429" i="6"/>
  <c r="G428" i="6" s="1"/>
  <c r="G423" i="6"/>
  <c r="G422" i="6"/>
  <c r="G417" i="6"/>
  <c r="G416" i="6" s="1"/>
  <c r="G415" i="6"/>
  <c r="G414" i="6" s="1"/>
  <c r="G410" i="6"/>
  <c r="G409" i="6"/>
  <c r="G406" i="6"/>
  <c r="G405" i="6"/>
  <c r="G400" i="6"/>
  <c r="G399" i="6" s="1"/>
  <c r="G398" i="6" s="1"/>
  <c r="G397" i="6"/>
  <c r="G396" i="6"/>
  <c r="G391" i="6"/>
  <c r="G390" i="6" s="1"/>
  <c r="G389" i="6" s="1"/>
  <c r="G388" i="6" s="1"/>
  <c r="G387" i="6" s="1"/>
  <c r="G385" i="6"/>
  <c r="G384" i="6" s="1"/>
  <c r="G383" i="6" s="1"/>
  <c r="G382" i="6" s="1"/>
  <c r="G381" i="6" s="1"/>
  <c r="G380" i="6"/>
  <c r="G379" i="6" s="1"/>
  <c r="G378" i="6" s="1"/>
  <c r="G377" i="6" s="1"/>
  <c r="G376" i="6" s="1"/>
  <c r="G374" i="6"/>
  <c r="G373" i="6" s="1"/>
  <c r="G372" i="6" s="1"/>
  <c r="G371" i="6" s="1"/>
  <c r="G370" i="6" s="1"/>
  <c r="G369" i="6"/>
  <c r="G368" i="6" s="1"/>
  <c r="G367" i="6" s="1"/>
  <c r="G366" i="6" s="1"/>
  <c r="G365" i="6"/>
  <c r="G364" i="6" s="1"/>
  <c r="G363" i="6" s="1"/>
  <c r="G362" i="6" s="1"/>
  <c r="G360" i="6"/>
  <c r="G359" i="6" s="1"/>
  <c r="G358" i="6" s="1"/>
  <c r="G357" i="6" s="1"/>
  <c r="G356" i="6" s="1"/>
  <c r="G354" i="6"/>
  <c r="G353" i="6" s="1"/>
  <c r="G352" i="6" s="1"/>
  <c r="G351" i="6" s="1"/>
  <c r="G350" i="6" s="1"/>
  <c r="G349" i="6"/>
  <c r="G348" i="6" s="1"/>
  <c r="G347" i="6" s="1"/>
  <c r="G346" i="6" s="1"/>
  <c r="G345" i="6" s="1"/>
  <c r="G344" i="6"/>
  <c r="G343" i="6" s="1"/>
  <c r="G342" i="6" s="1"/>
  <c r="G341" i="6" s="1"/>
  <c r="G340" i="6" s="1"/>
  <c r="G339" i="6"/>
  <c r="G338" i="6"/>
  <c r="G327" i="6"/>
  <c r="G326" i="6" s="1"/>
  <c r="G325" i="6" s="1"/>
  <c r="G324" i="6" s="1"/>
  <c r="G323" i="6" s="1"/>
  <c r="G322" i="6"/>
  <c r="G321" i="6" s="1"/>
  <c r="G320" i="6" s="1"/>
  <c r="G319" i="6" s="1"/>
  <c r="G318" i="6" s="1"/>
  <c r="G317" i="6"/>
  <c r="G316" i="6" s="1"/>
  <c r="G315" i="6" s="1"/>
  <c r="G314" i="6" s="1"/>
  <c r="G313" i="6" s="1"/>
  <c r="G302" i="6"/>
  <c r="G301" i="6" s="1"/>
  <c r="G300" i="6" s="1"/>
  <c r="G299" i="6" s="1"/>
  <c r="G298" i="6" s="1"/>
  <c r="G297" i="6"/>
  <c r="G296" i="6" s="1"/>
  <c r="G295" i="6" s="1"/>
  <c r="G294" i="6" s="1"/>
  <c r="G293" i="6" s="1"/>
  <c r="G292" i="6"/>
  <c r="G291" i="6" s="1"/>
  <c r="G290" i="6" s="1"/>
  <c r="G289" i="6" s="1"/>
  <c r="G288" i="6" s="1"/>
  <c r="G287" i="6"/>
  <c r="G286" i="6" s="1"/>
  <c r="G285" i="6" s="1"/>
  <c r="G284" i="6" s="1"/>
  <c r="G283" i="6" s="1"/>
  <c r="G281" i="6"/>
  <c r="G280" i="6" s="1"/>
  <c r="G279" i="6"/>
  <c r="G278" i="6" s="1"/>
  <c r="G277" i="6"/>
  <c r="G276" i="6" s="1"/>
  <c r="G272" i="6"/>
  <c r="G271" i="6" s="1"/>
  <c r="G270" i="6"/>
  <c r="G269" i="6" s="1"/>
  <c r="G242" i="6"/>
  <c r="G237" i="6"/>
  <c r="G236" i="6" s="1"/>
  <c r="G235" i="6" s="1"/>
  <c r="G234" i="6"/>
  <c r="G233" i="6" s="1"/>
  <c r="G232" i="6" s="1"/>
  <c r="G229" i="6"/>
  <c r="G228" i="6" s="1"/>
  <c r="G227" i="6" s="1"/>
  <c r="G226" i="6"/>
  <c r="G225" i="6" s="1"/>
  <c r="G224" i="6" s="1"/>
  <c r="G223" i="6"/>
  <c r="G222" i="6"/>
  <c r="G216" i="6"/>
  <c r="G215" i="6" s="1"/>
  <c r="G214" i="6" s="1"/>
  <c r="G213" i="6" s="1"/>
  <c r="G212" i="6" s="1"/>
  <c r="G211" i="6" s="1"/>
  <c r="G210" i="6" s="1"/>
  <c r="G209" i="6"/>
  <c r="G208" i="6" s="1"/>
  <c r="G207" i="6" s="1"/>
  <c r="G206" i="6" s="1"/>
  <c r="G205" i="6" s="1"/>
  <c r="G204" i="6"/>
  <c r="G203" i="6" s="1"/>
  <c r="G202" i="6" s="1"/>
  <c r="G201" i="6" s="1"/>
  <c r="G200" i="6" s="1"/>
  <c r="G199" i="6"/>
  <c r="G198" i="6" s="1"/>
  <c r="G197" i="6" s="1"/>
  <c r="G196" i="6" s="1"/>
  <c r="G195" i="6" s="1"/>
  <c r="G192" i="6"/>
  <c r="G191" i="6" s="1"/>
  <c r="G190" i="6" s="1"/>
  <c r="G189" i="6"/>
  <c r="G188" i="6" s="1"/>
  <c r="G187" i="6" s="1"/>
  <c r="G181" i="6"/>
  <c r="G180" i="6" s="1"/>
  <c r="G179" i="6" s="1"/>
  <c r="G178" i="6" s="1"/>
  <c r="G177" i="6" s="1"/>
  <c r="G171" i="6"/>
  <c r="G170" i="6" s="1"/>
  <c r="G169" i="6" s="1"/>
  <c r="G168" i="6" s="1"/>
  <c r="G167" i="6" s="1"/>
  <c r="G166" i="6"/>
  <c r="G165" i="6" s="1"/>
  <c r="G164" i="6" s="1"/>
  <c r="G163" i="6" s="1"/>
  <c r="G162" i="6" s="1"/>
  <c r="G161" i="6"/>
  <c r="G160" i="6" s="1"/>
  <c r="G159" i="6" s="1"/>
  <c r="G158" i="6"/>
  <c r="G157" i="6"/>
  <c r="G151" i="6"/>
  <c r="G150" i="6"/>
  <c r="G145" i="6"/>
  <c r="G144" i="6" s="1"/>
  <c r="G143" i="6" s="1"/>
  <c r="G142" i="6" s="1"/>
  <c r="G141" i="6"/>
  <c r="G140" i="6"/>
  <c r="G137" i="6"/>
  <c r="G136" i="6"/>
  <c r="G130" i="6"/>
  <c r="G129" i="6"/>
  <c r="G124" i="6"/>
  <c r="G123" i="6"/>
  <c r="G117" i="6"/>
  <c r="G116" i="6" s="1"/>
  <c r="G115" i="6" s="1"/>
  <c r="G114" i="6"/>
  <c r="G113" i="6"/>
  <c r="G88" i="6"/>
  <c r="G87" i="6" s="1"/>
  <c r="G86" i="6" s="1"/>
  <c r="G85" i="6" s="1"/>
  <c r="G84" i="6" s="1"/>
  <c r="G83" i="6" s="1"/>
  <c r="G82" i="6"/>
  <c r="G81" i="6" s="1"/>
  <c r="G80" i="6" s="1"/>
  <c r="G79" i="6" s="1"/>
  <c r="G78" i="6" s="1"/>
  <c r="G77" i="6" s="1"/>
  <c r="G76" i="6"/>
  <c r="G75" i="6"/>
  <c r="G72" i="6"/>
  <c r="G71" i="6"/>
  <c r="G63" i="6"/>
  <c r="G62" i="6"/>
  <c r="G55" i="6"/>
  <c r="G54" i="6" s="1"/>
  <c r="G53" i="6"/>
  <c r="G52" i="6" s="1"/>
  <c r="G47" i="6"/>
  <c r="G46" i="6" s="1"/>
  <c r="G45" i="6"/>
  <c r="G44" i="6" s="1"/>
  <c r="G43" i="6"/>
  <c r="G42" i="6" s="1"/>
  <c r="G38" i="6"/>
  <c r="G37" i="6"/>
  <c r="G32" i="6"/>
  <c r="G31" i="6" s="1"/>
  <c r="G30" i="6" s="1"/>
  <c r="G29" i="6"/>
  <c r="G28" i="6"/>
  <c r="G22" i="6"/>
  <c r="G21" i="6" s="1"/>
  <c r="G20" i="6" s="1"/>
  <c r="G19" i="6" s="1"/>
  <c r="G18" i="6" s="1"/>
  <c r="I1324" i="5"/>
  <c r="K1324" i="5" s="1"/>
  <c r="M1324" i="5" s="1"/>
  <c r="O1324" i="5" s="1"/>
  <c r="I1322" i="5"/>
  <c r="K1322" i="5" s="1"/>
  <c r="M1322" i="5" s="1"/>
  <c r="O1322" i="5" s="1"/>
  <c r="I1315" i="5"/>
  <c r="K1315" i="5" s="1"/>
  <c r="M1315" i="5" s="1"/>
  <c r="O1315" i="5" s="1"/>
  <c r="I1305" i="5"/>
  <c r="K1305" i="5" s="1"/>
  <c r="M1305" i="5" s="1"/>
  <c r="O1305" i="5" s="1"/>
  <c r="I1302" i="5"/>
  <c r="K1302" i="5" s="1"/>
  <c r="M1302" i="5" s="1"/>
  <c r="O1302" i="5" s="1"/>
  <c r="I1300" i="5"/>
  <c r="K1300" i="5" s="1"/>
  <c r="M1300" i="5" s="1"/>
  <c r="O1300" i="5" s="1"/>
  <c r="I1297" i="5"/>
  <c r="K1297" i="5" s="1"/>
  <c r="M1297" i="5" s="1"/>
  <c r="O1297" i="5" s="1"/>
  <c r="I1295" i="5"/>
  <c r="K1295" i="5" s="1"/>
  <c r="M1295" i="5" s="1"/>
  <c r="O1295" i="5" s="1"/>
  <c r="I1288" i="5"/>
  <c r="K1288" i="5" s="1"/>
  <c r="M1288" i="5" s="1"/>
  <c r="O1288" i="5" s="1"/>
  <c r="I1282" i="5"/>
  <c r="K1282" i="5" s="1"/>
  <c r="M1282" i="5" s="1"/>
  <c r="O1282" i="5" s="1"/>
  <c r="I1278" i="5"/>
  <c r="K1278" i="5" s="1"/>
  <c r="M1278" i="5" s="1"/>
  <c r="O1278" i="5" s="1"/>
  <c r="I1271" i="5"/>
  <c r="K1271" i="5" s="1"/>
  <c r="M1271" i="5" s="1"/>
  <c r="O1271" i="5" s="1"/>
  <c r="I1261" i="5"/>
  <c r="K1261" i="5" s="1"/>
  <c r="M1261" i="5" s="1"/>
  <c r="O1261" i="5" s="1"/>
  <c r="I1249" i="5"/>
  <c r="K1249" i="5" s="1"/>
  <c r="M1249" i="5" s="1"/>
  <c r="O1249" i="5" s="1"/>
  <c r="I1245" i="5"/>
  <c r="K1245" i="5" s="1"/>
  <c r="M1245" i="5" s="1"/>
  <c r="O1245" i="5" s="1"/>
  <c r="I1242" i="5"/>
  <c r="K1242" i="5" s="1"/>
  <c r="M1242" i="5" s="1"/>
  <c r="O1242" i="5" s="1"/>
  <c r="I1233" i="5"/>
  <c r="K1233" i="5" s="1"/>
  <c r="M1233" i="5" s="1"/>
  <c r="O1233" i="5" s="1"/>
  <c r="I1224" i="5"/>
  <c r="K1224" i="5" s="1"/>
  <c r="M1224" i="5" s="1"/>
  <c r="O1224" i="5" s="1"/>
  <c r="I1212" i="5"/>
  <c r="K1212" i="5" s="1"/>
  <c r="M1212" i="5" s="1"/>
  <c r="O1212" i="5" s="1"/>
  <c r="I1204" i="5"/>
  <c r="K1204" i="5" s="1"/>
  <c r="M1204" i="5" s="1"/>
  <c r="O1204" i="5" s="1"/>
  <c r="I1183" i="5"/>
  <c r="K1183" i="5" s="1"/>
  <c r="M1183" i="5" s="1"/>
  <c r="O1183" i="5" s="1"/>
  <c r="I1179" i="5"/>
  <c r="K1179" i="5" s="1"/>
  <c r="M1179" i="5" s="1"/>
  <c r="O1179" i="5" s="1"/>
  <c r="I1175" i="5"/>
  <c r="K1175" i="5" s="1"/>
  <c r="M1175" i="5" s="1"/>
  <c r="O1175" i="5" s="1"/>
  <c r="I1167" i="5"/>
  <c r="K1167" i="5" s="1"/>
  <c r="M1167" i="5" s="1"/>
  <c r="O1167" i="5" s="1"/>
  <c r="I1161" i="5"/>
  <c r="K1161" i="5" s="1"/>
  <c r="M1161" i="5" s="1"/>
  <c r="O1161" i="5" s="1"/>
  <c r="I1156" i="5"/>
  <c r="K1156" i="5" s="1"/>
  <c r="M1156" i="5" s="1"/>
  <c r="O1156" i="5" s="1"/>
  <c r="I1153" i="5"/>
  <c r="K1153" i="5" s="1"/>
  <c r="M1153" i="5" s="1"/>
  <c r="O1153" i="5" s="1"/>
  <c r="I1146" i="5"/>
  <c r="K1146" i="5" s="1"/>
  <c r="M1146" i="5" s="1"/>
  <c r="O1146" i="5" s="1"/>
  <c r="I1142" i="5"/>
  <c r="K1142" i="5" s="1"/>
  <c r="M1142" i="5" s="1"/>
  <c r="O1142" i="5" s="1"/>
  <c r="I1127" i="5"/>
  <c r="K1127" i="5" s="1"/>
  <c r="M1127" i="5" s="1"/>
  <c r="O1127" i="5" s="1"/>
  <c r="I1123" i="5"/>
  <c r="K1123" i="5" s="1"/>
  <c r="M1123" i="5" s="1"/>
  <c r="O1123" i="5" s="1"/>
  <c r="I1117" i="5"/>
  <c r="K1117" i="5" s="1"/>
  <c r="M1117" i="5" s="1"/>
  <c r="O1117" i="5" s="1"/>
  <c r="I1112" i="5"/>
  <c r="K1112" i="5" s="1"/>
  <c r="M1112" i="5" s="1"/>
  <c r="O1112" i="5" s="1"/>
  <c r="I1111" i="5"/>
  <c r="K1111" i="5" s="1"/>
  <c r="M1111" i="5" s="1"/>
  <c r="O1111" i="5" s="1"/>
  <c r="I1099" i="5"/>
  <c r="K1099" i="5" s="1"/>
  <c r="M1099" i="5" s="1"/>
  <c r="O1099" i="5" s="1"/>
  <c r="I1093" i="5"/>
  <c r="K1093" i="5" s="1"/>
  <c r="M1093" i="5" s="1"/>
  <c r="O1093" i="5" s="1"/>
  <c r="I1088" i="5"/>
  <c r="K1088" i="5" s="1"/>
  <c r="M1088" i="5" s="1"/>
  <c r="O1088" i="5" s="1"/>
  <c r="I1083" i="5"/>
  <c r="K1083" i="5" s="1"/>
  <c r="M1083" i="5" s="1"/>
  <c r="O1083" i="5" s="1"/>
  <c r="I1078" i="5"/>
  <c r="K1078" i="5" s="1"/>
  <c r="M1078" i="5" s="1"/>
  <c r="O1078" i="5" s="1"/>
  <c r="I1074" i="5"/>
  <c r="K1074" i="5" s="1"/>
  <c r="M1074" i="5" s="1"/>
  <c r="O1074" i="5" s="1"/>
  <c r="I1070" i="5"/>
  <c r="K1070" i="5" s="1"/>
  <c r="M1070" i="5" s="1"/>
  <c r="O1070" i="5" s="1"/>
  <c r="I1064" i="5"/>
  <c r="K1064" i="5" s="1"/>
  <c r="M1064" i="5" s="1"/>
  <c r="O1064" i="5" s="1"/>
  <c r="I1063" i="5"/>
  <c r="K1063" i="5" s="1"/>
  <c r="M1063" i="5" s="1"/>
  <c r="O1063" i="5" s="1"/>
  <c r="I1035" i="5"/>
  <c r="K1035" i="5" s="1"/>
  <c r="M1035" i="5" s="1"/>
  <c r="O1035" i="5" s="1"/>
  <c r="I1030" i="5"/>
  <c r="K1030" i="5" s="1"/>
  <c r="M1030" i="5" s="1"/>
  <c r="O1030" i="5" s="1"/>
  <c r="I1027" i="5"/>
  <c r="K1027" i="5" s="1"/>
  <c r="M1027" i="5" s="1"/>
  <c r="O1027" i="5" s="1"/>
  <c r="I1022" i="5"/>
  <c r="K1022" i="5" s="1"/>
  <c r="M1022" i="5" s="1"/>
  <c r="O1022" i="5" s="1"/>
  <c r="I1019" i="5"/>
  <c r="K1019" i="5" s="1"/>
  <c r="M1019" i="5" s="1"/>
  <c r="O1019" i="5" s="1"/>
  <c r="I1004" i="5"/>
  <c r="K1004" i="5" s="1"/>
  <c r="M1004" i="5" s="1"/>
  <c r="O1004" i="5" s="1"/>
  <c r="I1001" i="5"/>
  <c r="K1001" i="5" s="1"/>
  <c r="M1001" i="5" s="1"/>
  <c r="O1001" i="5" s="1"/>
  <c r="I998" i="5"/>
  <c r="K998" i="5" s="1"/>
  <c r="M998" i="5" s="1"/>
  <c r="O998" i="5" s="1"/>
  <c r="I989" i="5"/>
  <c r="K989" i="5" s="1"/>
  <c r="M989" i="5" s="1"/>
  <c r="O989" i="5" s="1"/>
  <c r="I986" i="5"/>
  <c r="K986" i="5" s="1"/>
  <c r="M986" i="5" s="1"/>
  <c r="O986" i="5" s="1"/>
  <c r="I973" i="5"/>
  <c r="K973" i="5" s="1"/>
  <c r="M973" i="5" s="1"/>
  <c r="O973" i="5" s="1"/>
  <c r="I968" i="5"/>
  <c r="K968" i="5" s="1"/>
  <c r="M968" i="5" s="1"/>
  <c r="O968" i="5" s="1"/>
  <c r="I965" i="5"/>
  <c r="K965" i="5" s="1"/>
  <c r="M965" i="5" s="1"/>
  <c r="O965" i="5" s="1"/>
  <c r="I962" i="5"/>
  <c r="K962" i="5" s="1"/>
  <c r="M962" i="5" s="1"/>
  <c r="O962" i="5" s="1"/>
  <c r="I955" i="5"/>
  <c r="K955" i="5" s="1"/>
  <c r="M955" i="5" s="1"/>
  <c r="O955" i="5" s="1"/>
  <c r="I952" i="5"/>
  <c r="K952" i="5" s="1"/>
  <c r="M952" i="5" s="1"/>
  <c r="O952" i="5" s="1"/>
  <c r="I944" i="5"/>
  <c r="K944" i="5" s="1"/>
  <c r="M944" i="5" s="1"/>
  <c r="O944" i="5" s="1"/>
  <c r="I937" i="5"/>
  <c r="K937" i="5" s="1"/>
  <c r="M937" i="5" s="1"/>
  <c r="O937" i="5" s="1"/>
  <c r="I933" i="5"/>
  <c r="K933" i="5" s="1"/>
  <c r="M933" i="5" s="1"/>
  <c r="O933" i="5" s="1"/>
  <c r="I925" i="5"/>
  <c r="K925" i="5" s="1"/>
  <c r="M925" i="5" s="1"/>
  <c r="O925" i="5" s="1"/>
  <c r="I919" i="5"/>
  <c r="K919" i="5" s="1"/>
  <c r="M919" i="5" s="1"/>
  <c r="O919" i="5" s="1"/>
  <c r="I913" i="5"/>
  <c r="K913" i="5" s="1"/>
  <c r="M913" i="5" s="1"/>
  <c r="O913" i="5" s="1"/>
  <c r="I907" i="5"/>
  <c r="K907" i="5" s="1"/>
  <c r="M907" i="5" s="1"/>
  <c r="O907" i="5" s="1"/>
  <c r="I904" i="5"/>
  <c r="K904" i="5" s="1"/>
  <c r="M904" i="5" s="1"/>
  <c r="O904" i="5" s="1"/>
  <c r="I893" i="5"/>
  <c r="K893" i="5" s="1"/>
  <c r="M893" i="5" s="1"/>
  <c r="O893" i="5" s="1"/>
  <c r="I882" i="5"/>
  <c r="K882" i="5" s="1"/>
  <c r="M882" i="5" s="1"/>
  <c r="O882" i="5" s="1"/>
  <c r="I875" i="5"/>
  <c r="K875" i="5" s="1"/>
  <c r="M875" i="5" s="1"/>
  <c r="O875" i="5" s="1"/>
  <c r="I872" i="5"/>
  <c r="K872" i="5" s="1"/>
  <c r="M872" i="5" s="1"/>
  <c r="O872" i="5" s="1"/>
  <c r="I863" i="5"/>
  <c r="K863" i="5" s="1"/>
  <c r="M863" i="5" s="1"/>
  <c r="O863" i="5" s="1"/>
  <c r="I861" i="5"/>
  <c r="K861" i="5" s="1"/>
  <c r="M861" i="5" s="1"/>
  <c r="O861" i="5" s="1"/>
  <c r="I857" i="5"/>
  <c r="K857" i="5" s="1"/>
  <c r="M857" i="5" s="1"/>
  <c r="O857" i="5" s="1"/>
  <c r="I855" i="5"/>
  <c r="K855" i="5" s="1"/>
  <c r="M855" i="5" s="1"/>
  <c r="O855" i="5" s="1"/>
  <c r="I853" i="5"/>
  <c r="K853" i="5" s="1"/>
  <c r="M853" i="5" s="1"/>
  <c r="O853" i="5" s="1"/>
  <c r="I850" i="5"/>
  <c r="K850" i="5" s="1"/>
  <c r="M850" i="5" s="1"/>
  <c r="O850" i="5" s="1"/>
  <c r="I846" i="5"/>
  <c r="K846" i="5" s="1"/>
  <c r="M846" i="5" s="1"/>
  <c r="O846" i="5" s="1"/>
  <c r="I841" i="5"/>
  <c r="K841" i="5" s="1"/>
  <c r="M841" i="5" s="1"/>
  <c r="O841" i="5" s="1"/>
  <c r="I836" i="5"/>
  <c r="K836" i="5" s="1"/>
  <c r="M836" i="5" s="1"/>
  <c r="O836" i="5" s="1"/>
  <c r="I831" i="5"/>
  <c r="K831" i="5" s="1"/>
  <c r="M831" i="5" s="1"/>
  <c r="O831" i="5" s="1"/>
  <c r="I830" i="5"/>
  <c r="K830" i="5" s="1"/>
  <c r="M830" i="5" s="1"/>
  <c r="O830" i="5" s="1"/>
  <c r="I820" i="5"/>
  <c r="K820" i="5" s="1"/>
  <c r="M820" i="5" s="1"/>
  <c r="O820" i="5" s="1"/>
  <c r="I816" i="5"/>
  <c r="K816" i="5" s="1"/>
  <c r="M816" i="5" s="1"/>
  <c r="O816" i="5" s="1"/>
  <c r="I809" i="5"/>
  <c r="K809" i="5" s="1"/>
  <c r="M809" i="5" s="1"/>
  <c r="O809" i="5" s="1"/>
  <c r="I806" i="5"/>
  <c r="K806" i="5" s="1"/>
  <c r="M806" i="5" s="1"/>
  <c r="O806" i="5" s="1"/>
  <c r="I787" i="5"/>
  <c r="K787" i="5" s="1"/>
  <c r="M787" i="5" s="1"/>
  <c r="O787" i="5" s="1"/>
  <c r="I784" i="5"/>
  <c r="K784" i="5" s="1"/>
  <c r="M784" i="5" s="1"/>
  <c r="O784" i="5" s="1"/>
  <c r="I781" i="5"/>
  <c r="K781" i="5" s="1"/>
  <c r="M781" i="5" s="1"/>
  <c r="O781" i="5" s="1"/>
  <c r="I778" i="5"/>
  <c r="K778" i="5" s="1"/>
  <c r="M778" i="5" s="1"/>
  <c r="O778" i="5" s="1"/>
  <c r="I773" i="5"/>
  <c r="K773" i="5" s="1"/>
  <c r="M773" i="5" s="1"/>
  <c r="O773" i="5" s="1"/>
  <c r="I759" i="5"/>
  <c r="K759" i="5" s="1"/>
  <c r="M759" i="5" s="1"/>
  <c r="O759" i="5" s="1"/>
  <c r="I756" i="5"/>
  <c r="K756" i="5" s="1"/>
  <c r="M756" i="5" s="1"/>
  <c r="O756" i="5" s="1"/>
  <c r="I752" i="5"/>
  <c r="K752" i="5" s="1"/>
  <c r="M752" i="5" s="1"/>
  <c r="O752" i="5" s="1"/>
  <c r="I747" i="5"/>
  <c r="K747" i="5" s="1"/>
  <c r="M747" i="5" s="1"/>
  <c r="O747" i="5" s="1"/>
  <c r="I741" i="5"/>
  <c r="K741" i="5" s="1"/>
  <c r="M741" i="5" s="1"/>
  <c r="O741" i="5" s="1"/>
  <c r="I740" i="5"/>
  <c r="K740" i="5" s="1"/>
  <c r="M740" i="5" s="1"/>
  <c r="O740" i="5" s="1"/>
  <c r="I737" i="5"/>
  <c r="K737" i="5" s="1"/>
  <c r="M737" i="5" s="1"/>
  <c r="O737" i="5" s="1"/>
  <c r="I736" i="5"/>
  <c r="K736" i="5" s="1"/>
  <c r="M736" i="5" s="1"/>
  <c r="O736" i="5" s="1"/>
  <c r="I732" i="5"/>
  <c r="K732" i="5" s="1"/>
  <c r="M732" i="5" s="1"/>
  <c r="O732" i="5" s="1"/>
  <c r="I731" i="5"/>
  <c r="K731" i="5" s="1"/>
  <c r="M731" i="5" s="1"/>
  <c r="O731" i="5" s="1"/>
  <c r="I718" i="5"/>
  <c r="K718" i="5" s="1"/>
  <c r="M718" i="5" s="1"/>
  <c r="O718" i="5" s="1"/>
  <c r="I714" i="5"/>
  <c r="K714" i="5" s="1"/>
  <c r="M714" i="5" s="1"/>
  <c r="O714" i="5" s="1"/>
  <c r="I713" i="5"/>
  <c r="K713" i="5" s="1"/>
  <c r="M713" i="5" s="1"/>
  <c r="O713" i="5" s="1"/>
  <c r="I707" i="5"/>
  <c r="K707" i="5" s="1"/>
  <c r="M707" i="5" s="1"/>
  <c r="O707" i="5" s="1"/>
  <c r="I704" i="5"/>
  <c r="K704" i="5" s="1"/>
  <c r="M704" i="5" s="1"/>
  <c r="O704" i="5" s="1"/>
  <c r="I701" i="5"/>
  <c r="K701" i="5" s="1"/>
  <c r="M701" i="5" s="1"/>
  <c r="O701" i="5" s="1"/>
  <c r="I698" i="5"/>
  <c r="K698" i="5" s="1"/>
  <c r="M698" i="5" s="1"/>
  <c r="O698" i="5" s="1"/>
  <c r="I697" i="5"/>
  <c r="K697" i="5" s="1"/>
  <c r="M697" i="5" s="1"/>
  <c r="O697" i="5" s="1"/>
  <c r="I692" i="5"/>
  <c r="K692" i="5" s="1"/>
  <c r="M692" i="5" s="1"/>
  <c r="O692" i="5" s="1"/>
  <c r="I684" i="5"/>
  <c r="K684" i="5" s="1"/>
  <c r="M684" i="5" s="1"/>
  <c r="O684" i="5" s="1"/>
  <c r="I681" i="5"/>
  <c r="K681" i="5" s="1"/>
  <c r="M681" i="5" s="1"/>
  <c r="O681" i="5" s="1"/>
  <c r="I678" i="5"/>
  <c r="K678" i="5" s="1"/>
  <c r="M678" i="5" s="1"/>
  <c r="O678" i="5" s="1"/>
  <c r="I677" i="5"/>
  <c r="K677" i="5" s="1"/>
  <c r="M677" i="5" s="1"/>
  <c r="O677" i="5" s="1"/>
  <c r="I673" i="5"/>
  <c r="K673" i="5" s="1"/>
  <c r="M673" i="5" s="1"/>
  <c r="O673" i="5" s="1"/>
  <c r="I667" i="5"/>
  <c r="K667" i="5" s="1"/>
  <c r="M667" i="5" s="1"/>
  <c r="O667" i="5" s="1"/>
  <c r="I649" i="5"/>
  <c r="K649" i="5" s="1"/>
  <c r="M649" i="5" s="1"/>
  <c r="O649" i="5" s="1"/>
  <c r="I631" i="5"/>
  <c r="K631" i="5" s="1"/>
  <c r="M631" i="5" s="1"/>
  <c r="O631" i="5" s="1"/>
  <c r="I625" i="5"/>
  <c r="K625" i="5" s="1"/>
  <c r="M625" i="5" s="1"/>
  <c r="O625" i="5" s="1"/>
  <c r="I618" i="5"/>
  <c r="K618" i="5" s="1"/>
  <c r="M618" i="5" s="1"/>
  <c r="O618" i="5" s="1"/>
  <c r="I615" i="5"/>
  <c r="K615" i="5" s="1"/>
  <c r="M615" i="5" s="1"/>
  <c r="O615" i="5" s="1"/>
  <c r="I609" i="5"/>
  <c r="K609" i="5" s="1"/>
  <c r="M609" i="5" s="1"/>
  <c r="O609" i="5" s="1"/>
  <c r="I601" i="5"/>
  <c r="K601" i="5" s="1"/>
  <c r="M601" i="5" s="1"/>
  <c r="O601" i="5" s="1"/>
  <c r="I595" i="5"/>
  <c r="K595" i="5" s="1"/>
  <c r="M595" i="5" s="1"/>
  <c r="O595" i="5" s="1"/>
  <c r="I590" i="5"/>
  <c r="K590" i="5" s="1"/>
  <c r="M590" i="5" s="1"/>
  <c r="O590" i="5" s="1"/>
  <c r="I582" i="5"/>
  <c r="K582" i="5" s="1"/>
  <c r="M582" i="5" s="1"/>
  <c r="O582" i="5" s="1"/>
  <c r="I580" i="5"/>
  <c r="K580" i="5" s="1"/>
  <c r="M580" i="5" s="1"/>
  <c r="O580" i="5" s="1"/>
  <c r="I575" i="5"/>
  <c r="K575" i="5" s="1"/>
  <c r="M575" i="5" s="1"/>
  <c r="O575" i="5" s="1"/>
  <c r="I566" i="5"/>
  <c r="K566" i="5" s="1"/>
  <c r="M566" i="5" s="1"/>
  <c r="O566" i="5" s="1"/>
  <c r="I563" i="5"/>
  <c r="K563" i="5" s="1"/>
  <c r="M563" i="5" s="1"/>
  <c r="O563" i="5" s="1"/>
  <c r="I560" i="5"/>
  <c r="K560" i="5" s="1"/>
  <c r="M560" i="5" s="1"/>
  <c r="O560" i="5" s="1"/>
  <c r="I557" i="5"/>
  <c r="K557" i="5" s="1"/>
  <c r="M557" i="5" s="1"/>
  <c r="O557" i="5" s="1"/>
  <c r="I552" i="5"/>
  <c r="K552" i="5" s="1"/>
  <c r="M552" i="5" s="1"/>
  <c r="O552" i="5" s="1"/>
  <c r="I537" i="5"/>
  <c r="K537" i="5" s="1"/>
  <c r="M537" i="5" s="1"/>
  <c r="O537" i="5" s="1"/>
  <c r="I531" i="5"/>
  <c r="K531" i="5" s="1"/>
  <c r="M531" i="5" s="1"/>
  <c r="O531" i="5" s="1"/>
  <c r="I527" i="5"/>
  <c r="K527" i="5" s="1"/>
  <c r="M527" i="5" s="1"/>
  <c r="O527" i="5" s="1"/>
  <c r="I524" i="5"/>
  <c r="K524" i="5" s="1"/>
  <c r="M524" i="5" s="1"/>
  <c r="O524" i="5" s="1"/>
  <c r="I520" i="5"/>
  <c r="K520" i="5" s="1"/>
  <c r="M520" i="5" s="1"/>
  <c r="O520" i="5" s="1"/>
  <c r="I517" i="5"/>
  <c r="K517" i="5" s="1"/>
  <c r="M517" i="5" s="1"/>
  <c r="O517" i="5" s="1"/>
  <c r="I502" i="5"/>
  <c r="K502" i="5" s="1"/>
  <c r="M502" i="5" s="1"/>
  <c r="O502" i="5" s="1"/>
  <c r="I496" i="5"/>
  <c r="K496" i="5" s="1"/>
  <c r="M496" i="5" s="1"/>
  <c r="O496" i="5" s="1"/>
  <c r="I488" i="5"/>
  <c r="K488" i="5" s="1"/>
  <c r="M488" i="5" s="1"/>
  <c r="O488" i="5" s="1"/>
  <c r="I480" i="5"/>
  <c r="K480" i="5" s="1"/>
  <c r="M480" i="5" s="1"/>
  <c r="O480" i="5" s="1"/>
  <c r="I474" i="5"/>
  <c r="K474" i="5" s="1"/>
  <c r="M474" i="5" s="1"/>
  <c r="O474" i="5" s="1"/>
  <c r="I472" i="5"/>
  <c r="K472" i="5" s="1"/>
  <c r="M472" i="5" s="1"/>
  <c r="O472" i="5" s="1"/>
  <c r="I454" i="5"/>
  <c r="K454" i="5" s="1"/>
  <c r="M454" i="5" s="1"/>
  <c r="O454" i="5" s="1"/>
  <c r="I449" i="5"/>
  <c r="K449" i="5" s="1"/>
  <c r="M449" i="5" s="1"/>
  <c r="O449" i="5" s="1"/>
  <c r="I441" i="5"/>
  <c r="K441" i="5" s="1"/>
  <c r="M441" i="5" s="1"/>
  <c r="O441" i="5" s="1"/>
  <c r="I439" i="5"/>
  <c r="K439" i="5" s="1"/>
  <c r="M439" i="5" s="1"/>
  <c r="O439" i="5" s="1"/>
  <c r="I431" i="5"/>
  <c r="K431" i="5" s="1"/>
  <c r="M431" i="5" s="1"/>
  <c r="O431" i="5" s="1"/>
  <c r="I426" i="5"/>
  <c r="K426" i="5" s="1"/>
  <c r="M426" i="5" s="1"/>
  <c r="O426" i="5" s="1"/>
  <c r="I421" i="5"/>
  <c r="K421" i="5" s="1"/>
  <c r="M421" i="5" s="1"/>
  <c r="O421" i="5" s="1"/>
  <c r="I414" i="5"/>
  <c r="K414" i="5" s="1"/>
  <c r="M414" i="5" s="1"/>
  <c r="O414" i="5" s="1"/>
  <c r="I408" i="5"/>
  <c r="K408" i="5" s="1"/>
  <c r="M408" i="5" s="1"/>
  <c r="O408" i="5" s="1"/>
  <c r="I400" i="5"/>
  <c r="K400" i="5" s="1"/>
  <c r="M400" i="5" s="1"/>
  <c r="O400" i="5" s="1"/>
  <c r="I397" i="5"/>
  <c r="K397" i="5" s="1"/>
  <c r="M397" i="5" s="1"/>
  <c r="O397" i="5" s="1"/>
  <c r="I390" i="5"/>
  <c r="K390" i="5" s="1"/>
  <c r="M390" i="5" s="1"/>
  <c r="O390" i="5" s="1"/>
  <c r="I387" i="5"/>
  <c r="K387" i="5" s="1"/>
  <c r="M387" i="5" s="1"/>
  <c r="O387" i="5" s="1"/>
  <c r="I382" i="5"/>
  <c r="K382" i="5" s="1"/>
  <c r="M382" i="5" s="1"/>
  <c r="O382" i="5" s="1"/>
  <c r="I377" i="5"/>
  <c r="K377" i="5" s="1"/>
  <c r="M377" i="5" s="1"/>
  <c r="O377" i="5" s="1"/>
  <c r="I372" i="5"/>
  <c r="K372" i="5" s="1"/>
  <c r="M372" i="5" s="1"/>
  <c r="O372" i="5" s="1"/>
  <c r="I363" i="5"/>
  <c r="K363" i="5" s="1"/>
  <c r="M363" i="5" s="1"/>
  <c r="O363" i="5" s="1"/>
  <c r="I356" i="5"/>
  <c r="K356" i="5" s="1"/>
  <c r="M356" i="5" s="1"/>
  <c r="O356" i="5" s="1"/>
  <c r="I353" i="5"/>
  <c r="K353" i="5" s="1"/>
  <c r="M353" i="5" s="1"/>
  <c r="O353" i="5" s="1"/>
  <c r="I350" i="5"/>
  <c r="K350" i="5" s="1"/>
  <c r="M350" i="5" s="1"/>
  <c r="O350" i="5" s="1"/>
  <c r="I345" i="5"/>
  <c r="K345" i="5" s="1"/>
  <c r="M345" i="5" s="1"/>
  <c r="O345" i="5" s="1"/>
  <c r="I343" i="5"/>
  <c r="K343" i="5" s="1"/>
  <c r="M343" i="5" s="1"/>
  <c r="O343" i="5" s="1"/>
  <c r="I338" i="5"/>
  <c r="K338" i="5" s="1"/>
  <c r="M338" i="5" s="1"/>
  <c r="O338" i="5" s="1"/>
  <c r="I333" i="5"/>
  <c r="K333" i="5" s="1"/>
  <c r="M333" i="5" s="1"/>
  <c r="O333" i="5" s="1"/>
  <c r="I328" i="5"/>
  <c r="K328" i="5" s="1"/>
  <c r="M328" i="5" s="1"/>
  <c r="O328" i="5" s="1"/>
  <c r="I324" i="5"/>
  <c r="K324" i="5" s="1"/>
  <c r="M324" i="5" s="1"/>
  <c r="O324" i="5" s="1"/>
  <c r="I319" i="5"/>
  <c r="K319" i="5" s="1"/>
  <c r="M319" i="5" s="1"/>
  <c r="O319" i="5" s="1"/>
  <c r="I310" i="5"/>
  <c r="K310" i="5" s="1"/>
  <c r="M310" i="5" s="1"/>
  <c r="O310" i="5" s="1"/>
  <c r="I306" i="5"/>
  <c r="K306" i="5" s="1"/>
  <c r="M306" i="5" s="1"/>
  <c r="O306" i="5" s="1"/>
  <c r="I303" i="5"/>
  <c r="K303" i="5" s="1"/>
  <c r="M303" i="5" s="1"/>
  <c r="O303" i="5" s="1"/>
  <c r="I299" i="5"/>
  <c r="K299" i="5" s="1"/>
  <c r="M299" i="5" s="1"/>
  <c r="O299" i="5" s="1"/>
  <c r="I295" i="5"/>
  <c r="K295" i="5" s="1"/>
  <c r="M295" i="5" s="1"/>
  <c r="O295" i="5" s="1"/>
  <c r="I291" i="5"/>
  <c r="K291" i="5" s="1"/>
  <c r="M291" i="5" s="1"/>
  <c r="O291" i="5" s="1"/>
  <c r="I287" i="5"/>
  <c r="K287" i="5" s="1"/>
  <c r="M287" i="5" s="1"/>
  <c r="O287" i="5" s="1"/>
  <c r="I280" i="5"/>
  <c r="K280" i="5" s="1"/>
  <c r="M280" i="5" s="1"/>
  <c r="O280" i="5" s="1"/>
  <c r="I275" i="5"/>
  <c r="K275" i="5" s="1"/>
  <c r="M275" i="5" s="1"/>
  <c r="O275" i="5" s="1"/>
  <c r="I258" i="5"/>
  <c r="K258" i="5" s="1"/>
  <c r="M258" i="5" s="1"/>
  <c r="O258" i="5" s="1"/>
  <c r="I255" i="5"/>
  <c r="K255" i="5" s="1"/>
  <c r="M255" i="5" s="1"/>
  <c r="O255" i="5" s="1"/>
  <c r="I252" i="5"/>
  <c r="K252" i="5" s="1"/>
  <c r="M252" i="5" s="1"/>
  <c r="O252" i="5" s="1"/>
  <c r="I248" i="5"/>
  <c r="K248" i="5" s="1"/>
  <c r="M248" i="5" s="1"/>
  <c r="O248" i="5" s="1"/>
  <c r="I245" i="5"/>
  <c r="K245" i="5" s="1"/>
  <c r="M245" i="5" s="1"/>
  <c r="O245" i="5" s="1"/>
  <c r="I239" i="5"/>
  <c r="K239" i="5" s="1"/>
  <c r="M239" i="5" s="1"/>
  <c r="O239" i="5" s="1"/>
  <c r="I236" i="5"/>
  <c r="K236" i="5" s="1"/>
  <c r="M236" i="5" s="1"/>
  <c r="O236" i="5" s="1"/>
  <c r="I232" i="5"/>
  <c r="K232" i="5" s="1"/>
  <c r="M232" i="5" s="1"/>
  <c r="O232" i="5" s="1"/>
  <c r="I223" i="5"/>
  <c r="K223" i="5" s="1"/>
  <c r="M223" i="5" s="1"/>
  <c r="O223" i="5" s="1"/>
  <c r="I218" i="5"/>
  <c r="K218" i="5" s="1"/>
  <c r="M218" i="5" s="1"/>
  <c r="O218" i="5" s="1"/>
  <c r="I215" i="5"/>
  <c r="K215" i="5" s="1"/>
  <c r="M215" i="5" s="1"/>
  <c r="O215" i="5" s="1"/>
  <c r="I209" i="5"/>
  <c r="K209" i="5" s="1"/>
  <c r="M209" i="5" s="1"/>
  <c r="O209" i="5" s="1"/>
  <c r="I205" i="5"/>
  <c r="K205" i="5" s="1"/>
  <c r="M205" i="5" s="1"/>
  <c r="O205" i="5" s="1"/>
  <c r="I198" i="5"/>
  <c r="K198" i="5" s="1"/>
  <c r="M198" i="5" s="1"/>
  <c r="O198" i="5" s="1"/>
  <c r="I193" i="5"/>
  <c r="K193" i="5" s="1"/>
  <c r="M193" i="5" s="1"/>
  <c r="O193" i="5" s="1"/>
  <c r="I185" i="5"/>
  <c r="K185" i="5" s="1"/>
  <c r="M185" i="5" s="1"/>
  <c r="O185" i="5" s="1"/>
  <c r="I183" i="5"/>
  <c r="K183" i="5" s="1"/>
  <c r="M183" i="5" s="1"/>
  <c r="O183" i="5" s="1"/>
  <c r="I176" i="5"/>
  <c r="K176" i="5" s="1"/>
  <c r="M176" i="5" s="1"/>
  <c r="O176" i="5" s="1"/>
  <c r="I172" i="5"/>
  <c r="K172" i="5" s="1"/>
  <c r="M172" i="5" s="1"/>
  <c r="O172" i="5" s="1"/>
  <c r="I167" i="5"/>
  <c r="K167" i="5" s="1"/>
  <c r="M167" i="5" s="1"/>
  <c r="O167" i="5" s="1"/>
  <c r="I163" i="5"/>
  <c r="K163" i="5" s="1"/>
  <c r="M163" i="5" s="1"/>
  <c r="O163" i="5" s="1"/>
  <c r="I160" i="5"/>
  <c r="K160" i="5" s="1"/>
  <c r="M160" i="5" s="1"/>
  <c r="O160" i="5" s="1"/>
  <c r="I157" i="5"/>
  <c r="K157" i="5" s="1"/>
  <c r="M157" i="5" s="1"/>
  <c r="O157" i="5" s="1"/>
  <c r="I153" i="5"/>
  <c r="K153" i="5" s="1"/>
  <c r="M153" i="5" s="1"/>
  <c r="O153" i="5" s="1"/>
  <c r="I148" i="5"/>
  <c r="K148" i="5" s="1"/>
  <c r="M148" i="5" s="1"/>
  <c r="O148" i="5" s="1"/>
  <c r="I140" i="5"/>
  <c r="K140" i="5" s="1"/>
  <c r="M140" i="5" s="1"/>
  <c r="O140" i="5" s="1"/>
  <c r="I137" i="5"/>
  <c r="K137" i="5" s="1"/>
  <c r="M137" i="5" s="1"/>
  <c r="O137" i="5" s="1"/>
  <c r="I127" i="5"/>
  <c r="K127" i="5" s="1"/>
  <c r="M127" i="5" s="1"/>
  <c r="O127" i="5" s="1"/>
  <c r="I123" i="5"/>
  <c r="K123" i="5" s="1"/>
  <c r="M123" i="5" s="1"/>
  <c r="O123" i="5" s="1"/>
  <c r="I120" i="5"/>
  <c r="K120" i="5" s="1"/>
  <c r="M120" i="5" s="1"/>
  <c r="O120" i="5" s="1"/>
  <c r="I117" i="5"/>
  <c r="K117" i="5" s="1"/>
  <c r="M117" i="5" s="1"/>
  <c r="O117" i="5" s="1"/>
  <c r="I109" i="5"/>
  <c r="K109" i="5" s="1"/>
  <c r="M109" i="5" s="1"/>
  <c r="O109" i="5" s="1"/>
  <c r="I106" i="5"/>
  <c r="K106" i="5" s="1"/>
  <c r="M106" i="5" s="1"/>
  <c r="O106" i="5" s="1"/>
  <c r="I102" i="5"/>
  <c r="K102" i="5" s="1"/>
  <c r="M102" i="5" s="1"/>
  <c r="O102" i="5" s="1"/>
  <c r="I99" i="5"/>
  <c r="K99" i="5" s="1"/>
  <c r="M99" i="5" s="1"/>
  <c r="O99" i="5" s="1"/>
  <c r="I94" i="5"/>
  <c r="K94" i="5" s="1"/>
  <c r="M94" i="5" s="1"/>
  <c r="O94" i="5" s="1"/>
  <c r="I90" i="5"/>
  <c r="K90" i="5" s="1"/>
  <c r="M90" i="5" s="1"/>
  <c r="O90" i="5" s="1"/>
  <c r="I87" i="5"/>
  <c r="K87" i="5" s="1"/>
  <c r="M87" i="5" s="1"/>
  <c r="O87" i="5" s="1"/>
  <c r="I81" i="5"/>
  <c r="K81" i="5" s="1"/>
  <c r="M81" i="5" s="1"/>
  <c r="O81" i="5" s="1"/>
  <c r="I74" i="5"/>
  <c r="K74" i="5" s="1"/>
  <c r="M74" i="5" s="1"/>
  <c r="O74" i="5" s="1"/>
  <c r="I70" i="5"/>
  <c r="K70" i="5" s="1"/>
  <c r="M70" i="5" s="1"/>
  <c r="O70" i="5" s="1"/>
  <c r="I67" i="5"/>
  <c r="K67" i="5" s="1"/>
  <c r="M67" i="5" s="1"/>
  <c r="O67" i="5" s="1"/>
  <c r="I66" i="5"/>
  <c r="K66" i="5" s="1"/>
  <c r="M66" i="5" s="1"/>
  <c r="O66" i="5" s="1"/>
  <c r="I62" i="5"/>
  <c r="K62" i="5" s="1"/>
  <c r="M62" i="5" s="1"/>
  <c r="O62" i="5" s="1"/>
  <c r="I58" i="5"/>
  <c r="K58" i="5" s="1"/>
  <c r="M58" i="5" s="1"/>
  <c r="O58" i="5" s="1"/>
  <c r="I51" i="5"/>
  <c r="K51" i="5" s="1"/>
  <c r="M51" i="5" s="1"/>
  <c r="O51" i="5" s="1"/>
  <c r="I43" i="5"/>
  <c r="K43" i="5" s="1"/>
  <c r="M43" i="5" s="1"/>
  <c r="O43" i="5" s="1"/>
  <c r="I36" i="5"/>
  <c r="K36" i="5" s="1"/>
  <c r="M36" i="5" s="1"/>
  <c r="O36" i="5" s="1"/>
  <c r="I33" i="5"/>
  <c r="K33" i="5" s="1"/>
  <c r="M33" i="5" s="1"/>
  <c r="O33" i="5" s="1"/>
  <c r="I28" i="5"/>
  <c r="K28" i="5" s="1"/>
  <c r="M28" i="5" s="1"/>
  <c r="O28" i="5" s="1"/>
  <c r="H815" i="5"/>
  <c r="H814" i="5" s="1"/>
  <c r="H813" i="5" s="1"/>
  <c r="H1321" i="5"/>
  <c r="H1320" i="5" s="1"/>
  <c r="H1319" i="5" s="1"/>
  <c r="H1318" i="5" s="1"/>
  <c r="H1317" i="5" s="1"/>
  <c r="H1316" i="5" s="1"/>
  <c r="H1314" i="5"/>
  <c r="H1312" i="5"/>
  <c r="H1304" i="5"/>
  <c r="H1303" i="5" s="1"/>
  <c r="H1301" i="5"/>
  <c r="H1299" i="5"/>
  <c r="H1296" i="5"/>
  <c r="H1294" i="5"/>
  <c r="H1287" i="5"/>
  <c r="H1286" i="5" s="1"/>
  <c r="H1285" i="5" s="1"/>
  <c r="H1284" i="5" s="1"/>
  <c r="H1283" i="5" s="1"/>
  <c r="H1281" i="5"/>
  <c r="H1280" i="5" s="1"/>
  <c r="H1279" i="5" s="1"/>
  <c r="H1277" i="5"/>
  <c r="H1276" i="5" s="1"/>
  <c r="H1275" i="5" s="1"/>
  <c r="H1270" i="5"/>
  <c r="H1269" i="5" s="1"/>
  <c r="H1268" i="5" s="1"/>
  <c r="H1267" i="5" s="1"/>
  <c r="H1265" i="5"/>
  <c r="H1264" i="5" s="1"/>
  <c r="H1263" i="5" s="1"/>
  <c r="H1262" i="5" s="1"/>
  <c r="H1260" i="5"/>
  <c r="H1259" i="5" s="1"/>
  <c r="H1258" i="5" s="1"/>
  <c r="H1257" i="5" s="1"/>
  <c r="H1248" i="5"/>
  <c r="H1244" i="5"/>
  <c r="H1243" i="5" s="1"/>
  <c r="H1241" i="5"/>
  <c r="H1240" i="5" s="1"/>
  <c r="H1238" i="5"/>
  <c r="H1237" i="5" s="1"/>
  <c r="H1232" i="5"/>
  <c r="H1231" i="5" s="1"/>
  <c r="H1229" i="5"/>
  <c r="H1228" i="5" s="1"/>
  <c r="H1223" i="5"/>
  <c r="H1221" i="5" s="1"/>
  <c r="H1211" i="5"/>
  <c r="H1210" i="5" s="1"/>
  <c r="H1208" i="5"/>
  <c r="H1207" i="5" s="1"/>
  <c r="H1206" i="5" s="1"/>
  <c r="H1203" i="5"/>
  <c r="H1202" i="5" s="1"/>
  <c r="H1201" i="5" s="1"/>
  <c r="H1189" i="5"/>
  <c r="H1187" i="5"/>
  <c r="H1185" i="5"/>
  <c r="H1182" i="5"/>
  <c r="H1181" i="5" s="1"/>
  <c r="H1180" i="5" s="1"/>
  <c r="H1178" i="5"/>
  <c r="H1177" i="5" s="1"/>
  <c r="H1176" i="5" s="1"/>
  <c r="H1174" i="5"/>
  <c r="H1173" i="5" s="1"/>
  <c r="H1166" i="5"/>
  <c r="H1164" i="5"/>
  <c r="H1160" i="5"/>
  <c r="H1159" i="5" s="1"/>
  <c r="H1155" i="5"/>
  <c r="H1154" i="5" s="1"/>
  <c r="H1152" i="5"/>
  <c r="H1151" i="5" s="1"/>
  <c r="H1145" i="5"/>
  <c r="H1144" i="5" s="1"/>
  <c r="H1143" i="5" s="1"/>
  <c r="H1141" i="5"/>
  <c r="H1140" i="5" s="1"/>
  <c r="H1138" i="5"/>
  <c r="H1137" i="5" s="1"/>
  <c r="H1135" i="5"/>
  <c r="H1134" i="5" s="1"/>
  <c r="H1132" i="5"/>
  <c r="H1131" i="5" s="1"/>
  <c r="H1126" i="5"/>
  <c r="H1125" i="5" s="1"/>
  <c r="H1124" i="5" s="1"/>
  <c r="H1122" i="5"/>
  <c r="H1121" i="5" s="1"/>
  <c r="H1120" i="5" s="1"/>
  <c r="H1116" i="5"/>
  <c r="H1110" i="5"/>
  <c r="H1108" i="5"/>
  <c r="H1105" i="5"/>
  <c r="H1104" i="5" s="1"/>
  <c r="H1098" i="5"/>
  <c r="H1096" i="5"/>
  <c r="H1092" i="5"/>
  <c r="H1090" i="5"/>
  <c r="H1087" i="5"/>
  <c r="H1086" i="5" s="1"/>
  <c r="H1082" i="5"/>
  <c r="H1081" i="5" s="1"/>
  <c r="H1080" i="5" s="1"/>
  <c r="H1079" i="5" s="1"/>
  <c r="E60" i="1" s="1"/>
  <c r="H1077" i="5"/>
  <c r="H1076" i="5" s="1"/>
  <c r="H1073" i="5"/>
  <c r="H1072" i="5" s="1"/>
  <c r="H1069" i="5"/>
  <c r="H1068" i="5" s="1"/>
  <c r="H1062" i="5"/>
  <c r="H1061" i="5" s="1"/>
  <c r="H1060" i="5" s="1"/>
  <c r="H1059" i="5" s="1"/>
  <c r="H1056" i="5"/>
  <c r="H1055" i="5" s="1"/>
  <c r="H1054" i="5" s="1"/>
  <c r="H1053" i="5" s="1"/>
  <c r="H1049" i="5"/>
  <c r="H1047" i="5"/>
  <c r="H1045" i="5"/>
  <c r="H1042" i="5"/>
  <c r="H1040" i="5"/>
  <c r="H1034" i="5"/>
  <c r="H1033" i="5" s="1"/>
  <c r="H1032" i="5" s="1"/>
  <c r="H1031" i="5" s="1"/>
  <c r="H1029" i="5"/>
  <c r="H1028" i="5" s="1"/>
  <c r="H1026" i="5"/>
  <c r="H1025" i="5" s="1"/>
  <c r="H1021" i="5"/>
  <c r="H1020" i="5" s="1"/>
  <c r="H1018" i="5"/>
  <c r="H1017" i="5" s="1"/>
  <c r="H1015" i="5"/>
  <c r="H1014" i="5" s="1"/>
  <c r="H1010" i="5"/>
  <c r="H1009" i="5" s="1"/>
  <c r="H1008" i="5" s="1"/>
  <c r="H1003" i="5"/>
  <c r="H1002" i="5" s="1"/>
  <c r="H1000" i="5"/>
  <c r="H999" i="5" s="1"/>
  <c r="H997" i="5"/>
  <c r="H996" i="5" s="1"/>
  <c r="H988" i="5"/>
  <c r="H987" i="5" s="1"/>
  <c r="H985" i="5"/>
  <c r="H984" i="5" s="1"/>
  <c r="H982" i="5"/>
  <c r="H981" i="5" s="1"/>
  <c r="H979" i="5"/>
  <c r="H978" i="5" s="1"/>
  <c r="H972" i="5"/>
  <c r="H971" i="5" s="1"/>
  <c r="H970" i="5" s="1"/>
  <c r="H969" i="5" s="1"/>
  <c r="H967" i="5"/>
  <c r="H966" i="5" s="1"/>
  <c r="H964" i="5"/>
  <c r="H963" i="5" s="1"/>
  <c r="H961" i="5"/>
  <c r="H960" i="5" s="1"/>
  <c r="H954" i="5"/>
  <c r="H953" i="5" s="1"/>
  <c r="H951" i="5"/>
  <c r="H950" i="5" s="1"/>
  <c r="H943" i="5"/>
  <c r="H942" i="5" s="1"/>
  <c r="H941" i="5" s="1"/>
  <c r="H940" i="5" s="1"/>
  <c r="H939" i="5" s="1"/>
  <c r="H936" i="5"/>
  <c r="H935" i="5" s="1"/>
  <c r="H934" i="5" s="1"/>
  <c r="H932" i="5"/>
  <c r="H931" i="5" s="1"/>
  <c r="H930" i="5" s="1"/>
  <c r="H929" i="5" s="1"/>
  <c r="H924" i="5"/>
  <c r="H923" i="5" s="1"/>
  <c r="H922" i="5" s="1"/>
  <c r="H921" i="5" s="1"/>
  <c r="H920" i="5" s="1"/>
  <c r="H918" i="5"/>
  <c r="H917" i="5" s="1"/>
  <c r="H916" i="5" s="1"/>
  <c r="H912" i="5"/>
  <c r="H910" i="5"/>
  <c r="H906" i="5"/>
  <c r="H905" i="5" s="1"/>
  <c r="H903" i="5"/>
  <c r="H901" i="5"/>
  <c r="H892" i="5"/>
  <c r="H891" i="5" s="1"/>
  <c r="H890" i="5" s="1"/>
  <c r="H889" i="5" s="1"/>
  <c r="H888" i="5" s="1"/>
  <c r="H886" i="5"/>
  <c r="H885" i="5" s="1"/>
  <c r="H884" i="5" s="1"/>
  <c r="H883" i="5" s="1"/>
  <c r="H881" i="5"/>
  <c r="H880" i="5" s="1"/>
  <c r="H879" i="5" s="1"/>
  <c r="H878" i="5" s="1"/>
  <c r="H874" i="5"/>
  <c r="H873" i="5" s="1"/>
  <c r="H871" i="5"/>
  <c r="H870" i="5" s="1"/>
  <c r="H862" i="5"/>
  <c r="H860" i="5"/>
  <c r="H856" i="5"/>
  <c r="H854" i="5"/>
  <c r="H852" i="5"/>
  <c r="H849" i="5"/>
  <c r="H848" i="5" s="1"/>
  <c r="H847" i="5" s="1"/>
  <c r="H845" i="5"/>
  <c r="H844" i="5" s="1"/>
  <c r="H840" i="5"/>
  <c r="H839" i="5" s="1"/>
  <c r="H838" i="5" s="1"/>
  <c r="H835" i="5"/>
  <c r="H834" i="5" s="1"/>
  <c r="H833" i="5" s="1"/>
  <c r="H832" i="5" s="1"/>
  <c r="H829" i="5"/>
  <c r="H828" i="5" s="1"/>
  <c r="H823" i="5" s="1"/>
  <c r="H819" i="5"/>
  <c r="H818" i="5" s="1"/>
  <c r="H817" i="5" s="1"/>
  <c r="H808" i="5"/>
  <c r="H807" i="5" s="1"/>
  <c r="H805" i="5"/>
  <c r="H804" i="5" s="1"/>
  <c r="H801" i="5"/>
  <c r="H800" i="5" s="1"/>
  <c r="H786" i="5"/>
  <c r="H785" i="5" s="1"/>
  <c r="H783" i="5"/>
  <c r="H782" i="5" s="1"/>
  <c r="H780" i="5"/>
  <c r="H779" i="5" s="1"/>
  <c r="H777" i="5"/>
  <c r="H776" i="5" s="1"/>
  <c r="H772" i="5"/>
  <c r="H771" i="5" s="1"/>
  <c r="H770" i="5" s="1"/>
  <c r="H758" i="5"/>
  <c r="H757" i="5" s="1"/>
  <c r="H755" i="5"/>
  <c r="H754" i="5" s="1"/>
  <c r="H751" i="5"/>
  <c r="H750" i="5" s="1"/>
  <c r="H749" i="5" s="1"/>
  <c r="H748" i="5" s="1"/>
  <c r="H746" i="5"/>
  <c r="H745" i="5" s="1"/>
  <c r="H744" i="5" s="1"/>
  <c r="H743" i="5" s="1"/>
  <c r="H739" i="5"/>
  <c r="H738" i="5" s="1"/>
  <c r="H735" i="5"/>
  <c r="H734" i="5" s="1"/>
  <c r="H733" i="5" s="1"/>
  <c r="H730" i="5"/>
  <c r="H729" i="5" s="1"/>
  <c r="H726" i="5"/>
  <c r="H725" i="5" s="1"/>
  <c r="H722" i="5"/>
  <c r="H721" i="5" s="1"/>
  <c r="H716" i="5"/>
  <c r="H715" i="5" s="1"/>
  <c r="H712" i="5"/>
  <c r="H711" i="5" s="1"/>
  <c r="H706" i="5"/>
  <c r="H705" i="5" s="1"/>
  <c r="H703" i="5"/>
  <c r="H702" i="5" s="1"/>
  <c r="H700" i="5"/>
  <c r="H699" i="5" s="1"/>
  <c r="H696" i="5"/>
  <c r="H695" i="5" s="1"/>
  <c r="H691" i="5"/>
  <c r="H690" i="5" s="1"/>
  <c r="H689" i="5" s="1"/>
  <c r="H683" i="5"/>
  <c r="H682" i="5" s="1"/>
  <c r="H680" i="5"/>
  <c r="H679" i="5" s="1"/>
  <c r="H676" i="5"/>
  <c r="H675" i="5" s="1"/>
  <c r="H672" i="5"/>
  <c r="H671" i="5" s="1"/>
  <c r="H670" i="5" s="1"/>
  <c r="H669" i="5" s="1"/>
  <c r="H668" i="5" s="1"/>
  <c r="H665" i="5"/>
  <c r="H664" i="5" s="1"/>
  <c r="H663" i="5" s="1"/>
  <c r="H662" i="5" s="1"/>
  <c r="H648" i="5"/>
  <c r="H647" i="5" s="1"/>
  <c r="H646" i="5" s="1"/>
  <c r="H643" i="5"/>
  <c r="H642" i="5" s="1"/>
  <c r="H639" i="5"/>
  <c r="H638" i="5" s="1"/>
  <c r="H637" i="5" s="1"/>
  <c r="H630" i="5"/>
  <c r="H628" i="5"/>
  <c r="H624" i="5"/>
  <c r="H623" i="5" s="1"/>
  <c r="H617" i="5"/>
  <c r="H616" i="5" s="1"/>
  <c r="H614" i="5"/>
  <c r="H613" i="5" s="1"/>
  <c r="H608" i="5"/>
  <c r="H607" i="5" s="1"/>
  <c r="H606" i="5" s="1"/>
  <c r="H605" i="5" s="1"/>
  <c r="H604" i="5" s="1"/>
  <c r="H603" i="5" s="1"/>
  <c r="H600" i="5"/>
  <c r="H599" i="5" s="1"/>
  <c r="H598" i="5" s="1"/>
  <c r="H597" i="5" s="1"/>
  <c r="H594" i="5"/>
  <c r="H593" i="5" s="1"/>
  <c r="H592" i="5" s="1"/>
  <c r="H591" i="5" s="1"/>
  <c r="H589" i="5"/>
  <c r="H587" i="5"/>
  <c r="H581" i="5"/>
  <c r="H579" i="5"/>
  <c r="H574" i="5"/>
  <c r="H573" i="5" s="1"/>
  <c r="H572" i="5" s="1"/>
  <c r="H571" i="5" s="1"/>
  <c r="H565" i="5"/>
  <c r="H564" i="5" s="1"/>
  <c r="H562" i="5"/>
  <c r="H561" i="5" s="1"/>
  <c r="H559" i="5"/>
  <c r="H558" i="5" s="1"/>
  <c r="H556" i="5"/>
  <c r="H555" i="5" s="1"/>
  <c r="H551" i="5"/>
  <c r="H550" i="5" s="1"/>
  <c r="H549" i="5" s="1"/>
  <c r="H548" i="5" s="1"/>
  <c r="H536" i="5"/>
  <c r="H535" i="5" s="1"/>
  <c r="H534" i="5" s="1"/>
  <c r="H533" i="5" s="1"/>
  <c r="H532" i="5" s="1"/>
  <c r="H530" i="5"/>
  <c r="H529" i="5" s="1"/>
  <c r="H528" i="5" s="1"/>
  <c r="H526" i="5"/>
  <c r="H525" i="5" s="1"/>
  <c r="H523" i="5"/>
  <c r="H522" i="5" s="1"/>
  <c r="H521" i="5" s="1"/>
  <c r="H519" i="5"/>
  <c r="H518" i="5" s="1"/>
  <c r="H516" i="5"/>
  <c r="H515" i="5" s="1"/>
  <c r="H512" i="5"/>
  <c r="H510" i="5"/>
  <c r="H508" i="5"/>
  <c r="H501" i="5"/>
  <c r="H500" i="5" s="1"/>
  <c r="H499" i="5" s="1"/>
  <c r="H498" i="5" s="1"/>
  <c r="H495" i="5"/>
  <c r="H494" i="5" s="1"/>
  <c r="H493" i="5" s="1"/>
  <c r="H492" i="5" s="1"/>
  <c r="H491" i="5" s="1"/>
  <c r="H490" i="5" s="1"/>
  <c r="H487" i="5"/>
  <c r="H486" i="5" s="1"/>
  <c r="H485" i="5" s="1"/>
  <c r="H484" i="5" s="1"/>
  <c r="H483" i="5" s="1"/>
  <c r="H482" i="5" s="1"/>
  <c r="H481" i="5" s="1"/>
  <c r="H479" i="5"/>
  <c r="H478" i="5" s="1"/>
  <c r="H477" i="5" s="1"/>
  <c r="H476" i="5" s="1"/>
  <c r="H475" i="5" s="1"/>
  <c r="H473" i="5"/>
  <c r="H471" i="5"/>
  <c r="H469" i="5"/>
  <c r="H462" i="5"/>
  <c r="H461" i="5" s="1"/>
  <c r="H460" i="5" s="1"/>
  <c r="H459" i="5" s="1"/>
  <c r="H458" i="5" s="1"/>
  <c r="H457" i="5" s="1"/>
  <c r="E20" i="1" s="1"/>
  <c r="H453" i="5"/>
  <c r="H452" i="5" s="1"/>
  <c r="H450" i="5"/>
  <c r="H448" i="5"/>
  <c r="H446" i="5"/>
  <c r="H440" i="5"/>
  <c r="H438" i="5"/>
  <c r="H436" i="5"/>
  <c r="H430" i="5"/>
  <c r="H429" i="5" s="1"/>
  <c r="H428" i="5" s="1"/>
  <c r="H427" i="5" s="1"/>
  <c r="H425" i="5"/>
  <c r="H424" i="5" s="1"/>
  <c r="H423" i="5" s="1"/>
  <c r="H422" i="5" s="1"/>
  <c r="H420" i="5"/>
  <c r="H419" i="5" s="1"/>
  <c r="H418" i="5" s="1"/>
  <c r="H413" i="5"/>
  <c r="H412" i="5" s="1"/>
  <c r="H407" i="5"/>
  <c r="H406" i="5" s="1"/>
  <c r="H399" i="5"/>
  <c r="H398" i="5" s="1"/>
  <c r="H396" i="5"/>
  <c r="H395" i="5" s="1"/>
  <c r="H391" i="5"/>
  <c r="H389" i="5"/>
  <c r="H386" i="5"/>
  <c r="H385" i="5" s="1"/>
  <c r="H384" i="5" s="1"/>
  <c r="H383" i="5" s="1"/>
  <c r="H381" i="5"/>
  <c r="H380" i="5" s="1"/>
  <c r="H379" i="5" s="1"/>
  <c r="H378" i="5" s="1"/>
  <c r="H376" i="5"/>
  <c r="H375" i="5" s="1"/>
  <c r="H374" i="5" s="1"/>
  <c r="H373" i="5" s="1"/>
  <c r="H371" i="5"/>
  <c r="H370" i="5" s="1"/>
  <c r="H369" i="5" s="1"/>
  <c r="H368" i="5" s="1"/>
  <c r="H362" i="5"/>
  <c r="H361" i="5" s="1"/>
  <c r="H360" i="5" s="1"/>
  <c r="H359" i="5" s="1"/>
  <c r="H358" i="5" s="1"/>
  <c r="E54" i="1" s="1"/>
  <c r="H355" i="5"/>
  <c r="H354" i="5" s="1"/>
  <c r="H352" i="5"/>
  <c r="H351" i="5" s="1"/>
  <c r="H349" i="5"/>
  <c r="H348" i="5" s="1"/>
  <c r="H344" i="5"/>
  <c r="H342" i="5"/>
  <c r="H340" i="5"/>
  <c r="H337" i="5"/>
  <c r="H336" i="5" s="1"/>
  <c r="H332" i="5"/>
  <c r="H331" i="5" s="1"/>
  <c r="H330" i="5" s="1"/>
  <c r="H329" i="5" s="1"/>
  <c r="H327" i="5"/>
  <c r="H326" i="5" s="1"/>
  <c r="H325" i="5" s="1"/>
  <c r="H323" i="5"/>
  <c r="H322" i="5" s="1"/>
  <c r="H321" i="5" s="1"/>
  <c r="H320" i="5" s="1"/>
  <c r="H318" i="5"/>
  <c r="H317" i="5" s="1"/>
  <c r="H316" i="5" s="1"/>
  <c r="H314" i="5"/>
  <c r="H313" i="5" s="1"/>
  <c r="H312" i="5" s="1"/>
  <c r="H305" i="5"/>
  <c r="H304" i="5" s="1"/>
  <c r="H302" i="5"/>
  <c r="H301" i="5" s="1"/>
  <c r="H298" i="5"/>
  <c r="H297" i="5" s="1"/>
  <c r="H296" i="5" s="1"/>
  <c r="H294" i="5"/>
  <c r="H293" i="5" s="1"/>
  <c r="H292" i="5" s="1"/>
  <c r="H290" i="5"/>
  <c r="H289" i="5" s="1"/>
  <c r="H288" i="5" s="1"/>
  <c r="H286" i="5"/>
  <c r="H285" i="5" s="1"/>
  <c r="H284" i="5" s="1"/>
  <c r="H283" i="5" s="1"/>
  <c r="H279" i="5"/>
  <c r="H277" i="5"/>
  <c r="H274" i="5"/>
  <c r="H272" i="5"/>
  <c r="H257" i="5"/>
  <c r="H256" i="5" s="1"/>
  <c r="H254" i="5"/>
  <c r="H253" i="5" s="1"/>
  <c r="H251" i="5"/>
  <c r="H250" i="5" s="1"/>
  <c r="H247" i="5"/>
  <c r="H246" i="5" s="1"/>
  <c r="H244" i="5"/>
  <c r="H243" i="5" s="1"/>
  <c r="H238" i="5"/>
  <c r="H237" i="5" s="1"/>
  <c r="H235" i="5"/>
  <c r="H234" i="5" s="1"/>
  <c r="H231" i="5"/>
  <c r="H230" i="5" s="1"/>
  <c r="H226" i="5"/>
  <c r="H225" i="5" s="1"/>
  <c r="H224" i="5" s="1"/>
  <c r="H222" i="5"/>
  <c r="H221" i="5" s="1"/>
  <c r="H220" i="5" s="1"/>
  <c r="H217" i="5"/>
  <c r="H216" i="5" s="1"/>
  <c r="H214" i="5"/>
  <c r="H213" i="5" s="1"/>
  <c r="H208" i="5"/>
  <c r="H207" i="5" s="1"/>
  <c r="H206" i="5" s="1"/>
  <c r="H204" i="5"/>
  <c r="H203" i="5" s="1"/>
  <c r="H201" i="5"/>
  <c r="H200" i="5" s="1"/>
  <c r="H197" i="5"/>
  <c r="H196" i="5" s="1"/>
  <c r="H190" i="5"/>
  <c r="H189" i="5" s="1"/>
  <c r="H188" i="5" s="1"/>
  <c r="H187" i="5" s="1"/>
  <c r="E30" i="1" s="1"/>
  <c r="H184" i="5"/>
  <c r="H182" i="5"/>
  <c r="H180" i="5"/>
  <c r="H175" i="5"/>
  <c r="H174" i="5" s="1"/>
  <c r="H173" i="5" s="1"/>
  <c r="H171" i="5"/>
  <c r="H169" i="5"/>
  <c r="H166" i="5"/>
  <c r="H165" i="5" s="1"/>
  <c r="H162" i="5"/>
  <c r="H161" i="5" s="1"/>
  <c r="H159" i="5"/>
  <c r="H158" i="5" s="1"/>
  <c r="H156" i="5"/>
  <c r="H155" i="5" s="1"/>
  <c r="H152" i="5"/>
  <c r="H151" i="5" s="1"/>
  <c r="H149" i="5"/>
  <c r="H147" i="5"/>
  <c r="H145" i="5"/>
  <c r="H139" i="5"/>
  <c r="H138" i="5" s="1"/>
  <c r="H136" i="5"/>
  <c r="H135" i="5" s="1"/>
  <c r="H126" i="5"/>
  <c r="H125" i="5" s="1"/>
  <c r="H124" i="5" s="1"/>
  <c r="H122" i="5"/>
  <c r="H121" i="5" s="1"/>
  <c r="H119" i="5"/>
  <c r="H118" i="5" s="1"/>
  <c r="H116" i="5"/>
  <c r="H115" i="5" s="1"/>
  <c r="H108" i="5"/>
  <c r="H107" i="5" s="1"/>
  <c r="H105" i="5"/>
  <c r="H104" i="5" s="1"/>
  <c r="H101" i="5"/>
  <c r="H100" i="5" s="1"/>
  <c r="H98" i="5"/>
  <c r="H97" i="5" s="1"/>
  <c r="H93" i="5"/>
  <c r="H92" i="5" s="1"/>
  <c r="H91" i="5" s="1"/>
  <c r="H89" i="5"/>
  <c r="H88" i="5" s="1"/>
  <c r="H86" i="5"/>
  <c r="H85" i="5" s="1"/>
  <c r="H82" i="5"/>
  <c r="H80" i="5"/>
  <c r="H78" i="5"/>
  <c r="H73" i="5"/>
  <c r="H72" i="5" s="1"/>
  <c r="H71" i="5" s="1"/>
  <c r="H69" i="5"/>
  <c r="H68" i="5" s="1"/>
  <c r="H65" i="5"/>
  <c r="H64" i="5" s="1"/>
  <c r="H61" i="5"/>
  <c r="H60" i="5" s="1"/>
  <c r="H59" i="5" s="1"/>
  <c r="H57" i="5"/>
  <c r="H55" i="5"/>
  <c r="H52" i="5"/>
  <c r="H50" i="5"/>
  <c r="H48" i="5"/>
  <c r="H42" i="5"/>
  <c r="H41" i="5" s="1"/>
  <c r="H40" i="5" s="1"/>
  <c r="H32" i="5"/>
  <c r="H30" i="5"/>
  <c r="H27" i="5"/>
  <c r="H25" i="5"/>
  <c r="G61" i="6" l="1"/>
  <c r="G60" i="6" s="1"/>
  <c r="G59" i="6" s="1"/>
  <c r="G58" i="6" s="1"/>
  <c r="G57" i="6" s="1"/>
  <c r="G1009" i="6"/>
  <c r="G778" i="6"/>
  <c r="G777" i="6" s="1"/>
  <c r="G776" i="6" s="1"/>
  <c r="G775" i="6" s="1"/>
  <c r="G461" i="6"/>
  <c r="G460" i="6" s="1"/>
  <c r="H168" i="5"/>
  <c r="H164" i="5" s="1"/>
  <c r="H77" i="5"/>
  <c r="H76" i="5" s="1"/>
  <c r="G149" i="6"/>
  <c r="G148" i="6" s="1"/>
  <c r="G147" i="6" s="1"/>
  <c r="G146" i="6" s="1"/>
  <c r="G1417" i="6"/>
  <c r="G1416" i="6" s="1"/>
  <c r="G1415" i="6" s="1"/>
  <c r="G1414" i="6" s="1"/>
  <c r="H1169" i="5"/>
  <c r="G786" i="6"/>
  <c r="G785" i="6" s="1"/>
  <c r="G784" i="6" s="1"/>
  <c r="G982" i="6"/>
  <c r="H271" i="5"/>
  <c r="G794" i="6"/>
  <c r="G793" i="6" s="1"/>
  <c r="G792" i="6" s="1"/>
  <c r="G791" i="6" s="1"/>
  <c r="H276" i="5"/>
  <c r="G27" i="6"/>
  <c r="G26" i="6" s="1"/>
  <c r="G25" i="6" s="1"/>
  <c r="G24" i="6" s="1"/>
  <c r="G51" i="6"/>
  <c r="G50" i="6" s="1"/>
  <c r="G49" i="6" s="1"/>
  <c r="G48" i="6" s="1"/>
  <c r="G70" i="6"/>
  <c r="G69" i="6" s="1"/>
  <c r="G221" i="6"/>
  <c r="G220" i="6" s="1"/>
  <c r="G219" i="6" s="1"/>
  <c r="G218" i="6" s="1"/>
  <c r="G454" i="6"/>
  <c r="G453" i="6" s="1"/>
  <c r="G452" i="6" s="1"/>
  <c r="H602" i="5"/>
  <c r="E52" i="1"/>
  <c r="E51" i="1" s="1"/>
  <c r="H1246" i="5"/>
  <c r="G1022" i="6"/>
  <c r="H586" i="5"/>
  <c r="H585" i="5" s="1"/>
  <c r="H584" i="5" s="1"/>
  <c r="H583" i="5" s="1"/>
  <c r="E38" i="1" s="1"/>
  <c r="H612" i="5"/>
  <c r="H611" i="5" s="1"/>
  <c r="H610" i="5" s="1"/>
  <c r="H938" i="5"/>
  <c r="E65" i="1"/>
  <c r="E64" i="1" s="1"/>
  <c r="H596" i="5"/>
  <c r="H1115" i="5"/>
  <c r="H1114" i="5" s="1"/>
  <c r="G1007" i="6"/>
  <c r="H1147" i="5"/>
  <c r="H1298" i="5"/>
  <c r="G122" i="6"/>
  <c r="G121" i="6" s="1"/>
  <c r="G120" i="6" s="1"/>
  <c r="G119" i="6" s="1"/>
  <c r="G574" i="6"/>
  <c r="G573" i="6" s="1"/>
  <c r="G572" i="6" s="1"/>
  <c r="G571" i="6" s="1"/>
  <c r="G570" i="6" s="1"/>
  <c r="G592" i="6"/>
  <c r="G703" i="6"/>
  <c r="G1353" i="6"/>
  <c r="G1403" i="6"/>
  <c r="G1402" i="6" s="1"/>
  <c r="G1401" i="6" s="1"/>
  <c r="G1400" i="6" s="1"/>
  <c r="G1399" i="6" s="1"/>
  <c r="G275" i="6"/>
  <c r="G274" i="6" s="1"/>
  <c r="G273" i="6" s="1"/>
  <c r="G395" i="6"/>
  <c r="G394" i="6" s="1"/>
  <c r="G393" i="6" s="1"/>
  <c r="G392" i="6" s="1"/>
  <c r="G896" i="6"/>
  <c r="G893" i="6" s="1"/>
  <c r="G892" i="6" s="1"/>
  <c r="G891" i="6" s="1"/>
  <c r="G1159" i="6"/>
  <c r="G1158" i="6" s="1"/>
  <c r="G1157" i="6" s="1"/>
  <c r="G1151" i="6" s="1"/>
  <c r="G135" i="6"/>
  <c r="G134" i="6" s="1"/>
  <c r="G241" i="6"/>
  <c r="G240" i="6" s="1"/>
  <c r="G239" i="6" s="1"/>
  <c r="G238" i="6" s="1"/>
  <c r="G1095" i="6"/>
  <c r="G1094" i="6" s="1"/>
  <c r="G1093" i="6" s="1"/>
  <c r="G1088" i="6" s="1"/>
  <c r="G769" i="6"/>
  <c r="G768" i="6" s="1"/>
  <c r="G767" i="6" s="1"/>
  <c r="G766" i="6" s="1"/>
  <c r="G760" i="6" s="1"/>
  <c r="G139" i="6"/>
  <c r="G138" i="6" s="1"/>
  <c r="G812" i="6"/>
  <c r="G1067" i="6"/>
  <c r="G1066" i="6" s="1"/>
  <c r="G1065" i="6" s="1"/>
  <c r="G1125" i="6"/>
  <c r="G690" i="6"/>
  <c r="G689" i="6" s="1"/>
  <c r="G688" i="6" s="1"/>
  <c r="G687" i="6" s="1"/>
  <c r="G1239" i="6"/>
  <c r="G1238" i="6" s="1"/>
  <c r="G1232" i="6" s="1"/>
  <c r="G1118" i="6"/>
  <c r="G1117" i="6" s="1"/>
  <c r="G41" i="6"/>
  <c r="G40" i="6" s="1"/>
  <c r="G39" i="6" s="1"/>
  <c r="G128" i="6"/>
  <c r="G127" i="6" s="1"/>
  <c r="G126" i="6" s="1"/>
  <c r="G125" i="6" s="1"/>
  <c r="G361" i="6"/>
  <c r="G355" i="6" s="1"/>
  <c r="G404" i="6"/>
  <c r="G403" i="6" s="1"/>
  <c r="G413" i="6"/>
  <c r="G412" i="6" s="1"/>
  <c r="G411" i="6" s="1"/>
  <c r="G427" i="6"/>
  <c r="G426" i="6" s="1"/>
  <c r="G425" i="6" s="1"/>
  <c r="G424" i="6" s="1"/>
  <c r="G441" i="6"/>
  <c r="G440" i="6" s="1"/>
  <c r="G439" i="6" s="1"/>
  <c r="G479" i="6"/>
  <c r="G478" i="6" s="1"/>
  <c r="G477" i="6" s="1"/>
  <c r="G548" i="6"/>
  <c r="G547" i="6" s="1"/>
  <c r="G546" i="6" s="1"/>
  <c r="G844" i="6"/>
  <c r="G876" i="6"/>
  <c r="G871" i="6" s="1"/>
  <c r="G194" i="6"/>
  <c r="G193" i="6" s="1"/>
  <c r="G268" i="6"/>
  <c r="G267" i="6" s="1"/>
  <c r="G266" i="6" s="1"/>
  <c r="G265" i="6" s="1"/>
  <c r="G907" i="6"/>
  <c r="G906" i="6" s="1"/>
  <c r="G905" i="6" s="1"/>
  <c r="G904" i="6" s="1"/>
  <c r="G1194" i="6"/>
  <c r="G1193" i="6" s="1"/>
  <c r="G1192" i="6" s="1"/>
  <c r="G1186" i="6" s="1"/>
  <c r="G1358" i="6"/>
  <c r="G36" i="6"/>
  <c r="G35" i="6" s="1"/>
  <c r="G34" i="6" s="1"/>
  <c r="G33" i="6" s="1"/>
  <c r="G112" i="6"/>
  <c r="G111" i="6" s="1"/>
  <c r="G110" i="6" s="1"/>
  <c r="G109" i="6" s="1"/>
  <c r="G156" i="6"/>
  <c r="G155" i="6" s="1"/>
  <c r="G154" i="6" s="1"/>
  <c r="G153" i="6" s="1"/>
  <c r="G152" i="6" s="1"/>
  <c r="G337" i="6"/>
  <c r="G336" i="6" s="1"/>
  <c r="G335" i="6" s="1"/>
  <c r="G334" i="6" s="1"/>
  <c r="G333" i="6" s="1"/>
  <c r="G408" i="6"/>
  <c r="G407" i="6" s="1"/>
  <c r="G421" i="6"/>
  <c r="G420" i="6" s="1"/>
  <c r="G419" i="6" s="1"/>
  <c r="G418" i="6" s="1"/>
  <c r="G642" i="6"/>
  <c r="G641" i="6" s="1"/>
  <c r="G640" i="6" s="1"/>
  <c r="G923" i="6"/>
  <c r="G1139" i="6"/>
  <c r="G1134" i="6" s="1"/>
  <c r="G1374" i="6"/>
  <c r="G1373" i="6" s="1"/>
  <c r="G1372" i="6" s="1"/>
  <c r="G74" i="6"/>
  <c r="G73" i="6" s="1"/>
  <c r="G186" i="6"/>
  <c r="G185" i="6" s="1"/>
  <c r="G184" i="6" s="1"/>
  <c r="G183" i="6" s="1"/>
  <c r="G231" i="6"/>
  <c r="G230" i="6" s="1"/>
  <c r="G677" i="6"/>
  <c r="G676" i="6" s="1"/>
  <c r="G675" i="6" s="1"/>
  <c r="G1300" i="6"/>
  <c r="G1299" i="6" s="1"/>
  <c r="G1294" i="6" s="1"/>
  <c r="G1288" i="6" s="1"/>
  <c r="G1287" i="6" s="1"/>
  <c r="G748" i="6"/>
  <c r="G747" i="6"/>
  <c r="G486" i="6"/>
  <c r="G485" i="6" s="1"/>
  <c r="G484" i="6" s="1"/>
  <c r="G583" i="6"/>
  <c r="G635" i="6"/>
  <c r="G634" i="6" s="1"/>
  <c r="G633" i="6" s="1"/>
  <c r="G720" i="6"/>
  <c r="G719" i="6" s="1"/>
  <c r="G930" i="6"/>
  <c r="G1053" i="6"/>
  <c r="G1052" i="6" s="1"/>
  <c r="G1051" i="6" s="1"/>
  <c r="G1108" i="6"/>
  <c r="G1174" i="6"/>
  <c r="G1168" i="6" s="1"/>
  <c r="G1215" i="6"/>
  <c r="G1270" i="6"/>
  <c r="G1269" i="6" s="1"/>
  <c r="G1264" i="6" s="1"/>
  <c r="G1253" i="6" s="1"/>
  <c r="G282" i="6"/>
  <c r="G375" i="6"/>
  <c r="G529" i="6"/>
  <c r="G563" i="6"/>
  <c r="G559" i="6" s="1"/>
  <c r="G558" i="6" s="1"/>
  <c r="G503" i="6"/>
  <c r="G497" i="6" s="1"/>
  <c r="G1078" i="6"/>
  <c r="G1206" i="6"/>
  <c r="G1427" i="6"/>
  <c r="G1426" i="6" s="1"/>
  <c r="G1455" i="6"/>
  <c r="G1454" i="6" s="1"/>
  <c r="G1453" i="6" s="1"/>
  <c r="G1447" i="6" s="1"/>
  <c r="H405" i="5"/>
  <c r="H404" i="5" s="1"/>
  <c r="H47" i="5"/>
  <c r="H179" i="5"/>
  <c r="H178" i="5" s="1"/>
  <c r="H177" i="5" s="1"/>
  <c r="H29" i="5"/>
  <c r="H54" i="5"/>
  <c r="H144" i="5"/>
  <c r="H1095" i="5"/>
  <c r="H1094" i="5" s="1"/>
  <c r="H24" i="5"/>
  <c r="H23" i="5" s="1"/>
  <c r="H22" i="5" s="1"/>
  <c r="H21" i="5" s="1"/>
  <c r="H20" i="5" s="1"/>
  <c r="E22" i="1" s="1"/>
  <c r="H900" i="5"/>
  <c r="H899" i="5" s="1"/>
  <c r="H898" i="5" s="1"/>
  <c r="H949" i="5"/>
  <c r="H948" i="5" s="1"/>
  <c r="H947" i="5" s="1"/>
  <c r="H946" i="5" s="1"/>
  <c r="H1163" i="5"/>
  <c r="H1162" i="5" s="1"/>
  <c r="H1158" i="5" s="1"/>
  <c r="H1311" i="5"/>
  <c r="H1310" i="5" s="1"/>
  <c r="H1309" i="5" s="1"/>
  <c r="H1308" i="5" s="1"/>
  <c r="H1307" i="5" s="1"/>
  <c r="H1306" i="5" s="1"/>
  <c r="H909" i="5"/>
  <c r="H908" i="5" s="1"/>
  <c r="H1107" i="5"/>
  <c r="H1103" i="5" s="1"/>
  <c r="H1293" i="5"/>
  <c r="H822" i="5"/>
  <c r="H821" i="5" s="1"/>
  <c r="H388" i="5"/>
  <c r="H367" i="5" s="1"/>
  <c r="H694" i="5"/>
  <c r="H693" i="5" s="1"/>
  <c r="H851" i="5"/>
  <c r="H959" i="5"/>
  <c r="H958" i="5" s="1"/>
  <c r="H957" i="5" s="1"/>
  <c r="H956" i="5" s="1"/>
  <c r="H1024" i="5"/>
  <c r="H1023" i="5" s="1"/>
  <c r="H1039" i="5"/>
  <c r="H1038" i="5" s="1"/>
  <c r="H394" i="5"/>
  <c r="H859" i="5"/>
  <c r="H858" i="5" s="1"/>
  <c r="H869" i="5"/>
  <c r="H868" i="5" s="1"/>
  <c r="H867" i="5" s="1"/>
  <c r="H866" i="5" s="1"/>
  <c r="H865" i="5" s="1"/>
  <c r="H1184" i="5"/>
  <c r="H1205" i="5"/>
  <c r="H1192" i="5" s="1"/>
  <c r="H1191" i="5" s="1"/>
  <c r="H1274" i="5"/>
  <c r="H1273" i="5" s="1"/>
  <c r="H1272" i="5" s="1"/>
  <c r="H134" i="5"/>
  <c r="H128" i="5" s="1"/>
  <c r="H468" i="5"/>
  <c r="H467" i="5" s="1"/>
  <c r="H466" i="5" s="1"/>
  <c r="H465" i="5" s="1"/>
  <c r="H464" i="5" s="1"/>
  <c r="E21" i="1" s="1"/>
  <c r="H1044" i="5"/>
  <c r="H1089" i="5"/>
  <c r="H1119" i="5"/>
  <c r="E31" i="1" s="1"/>
  <c r="H799" i="5"/>
  <c r="H798" i="5" s="1"/>
  <c r="H797" i="5" s="1"/>
  <c r="H775" i="5"/>
  <c r="H774" i="5" s="1"/>
  <c r="H753" i="5"/>
  <c r="H742" i="5"/>
  <c r="H720" i="5"/>
  <c r="H719" i="5" s="1"/>
  <c r="H710" i="5"/>
  <c r="H636" i="5"/>
  <c r="H627" i="5"/>
  <c r="H626" i="5" s="1"/>
  <c r="H622" i="5" s="1"/>
  <c r="H621" i="5" s="1"/>
  <c r="H620" i="5" s="1"/>
  <c r="H619" i="5" s="1"/>
  <c r="H578" i="5"/>
  <c r="H577" i="5" s="1"/>
  <c r="H576" i="5" s="1"/>
  <c r="H570" i="5" s="1"/>
  <c r="H554" i="5"/>
  <c r="H553" i="5" s="1"/>
  <c r="H539" i="5" s="1"/>
  <c r="E36" i="1" s="1"/>
  <c r="H507" i="5"/>
  <c r="H506" i="5" s="1"/>
  <c r="H505" i="5" s="1"/>
  <c r="H504" i="5" s="1"/>
  <c r="H503" i="5" s="1"/>
  <c r="H497" i="5" s="1"/>
  <c r="H445" i="5"/>
  <c r="H444" i="5" s="1"/>
  <c r="H443" i="5" s="1"/>
  <c r="H435" i="5"/>
  <c r="H434" i="5" s="1"/>
  <c r="H433" i="5" s="1"/>
  <c r="H432" i="5" s="1"/>
  <c r="H674" i="5"/>
  <c r="H877" i="5"/>
  <c r="H876" i="5" s="1"/>
  <c r="E56" i="1" s="1"/>
  <c r="H928" i="5"/>
  <c r="H927" i="5" s="1"/>
  <c r="H926" i="5" s="1"/>
  <c r="H1067" i="5"/>
  <c r="H1066" i="5" s="1"/>
  <c r="E59" i="1" s="1"/>
  <c r="H1220" i="5"/>
  <c r="H1219" i="5" s="1"/>
  <c r="H1218" i="5" s="1"/>
  <c r="H1256" i="5"/>
  <c r="H914" i="5"/>
  <c r="H915" i="5"/>
  <c r="H1052" i="5"/>
  <c r="H1130" i="5"/>
  <c r="H977" i="5"/>
  <c r="H1013" i="5"/>
  <c r="H1236" i="5"/>
  <c r="H347" i="5"/>
  <c r="H346" i="5" s="1"/>
  <c r="H339" i="5"/>
  <c r="H335" i="5" s="1"/>
  <c r="H311" i="5"/>
  <c r="H300" i="5"/>
  <c r="H249" i="5"/>
  <c r="H233" i="5"/>
  <c r="H229" i="5" s="1"/>
  <c r="H219" i="5"/>
  <c r="H212" i="5"/>
  <c r="H211" i="5" s="1"/>
  <c r="H210" i="5" s="1"/>
  <c r="H199" i="5"/>
  <c r="H195" i="5" s="1"/>
  <c r="H154" i="5"/>
  <c r="H114" i="5"/>
  <c r="H113" i="5" s="1"/>
  <c r="H103" i="5"/>
  <c r="H96" i="5"/>
  <c r="H95" i="5" s="1"/>
  <c r="H84" i="5"/>
  <c r="H63" i="5"/>
  <c r="H39" i="5"/>
  <c r="H38" i="5" s="1"/>
  <c r="H37" i="5"/>
  <c r="E23" i="1" s="1"/>
  <c r="G1223" i="5"/>
  <c r="G582" i="6" l="1"/>
  <c r="G476" i="6"/>
  <c r="G459" i="6" s="1"/>
  <c r="H1235" i="5"/>
  <c r="H1234" i="5" s="1"/>
  <c r="H1217" i="5" s="1"/>
  <c r="G23" i="6"/>
  <c r="H46" i="5"/>
  <c r="H45" i="5" s="1"/>
  <c r="H456" i="5"/>
  <c r="H455" i="5" s="1"/>
  <c r="G108" i="6"/>
  <c r="G1352" i="6"/>
  <c r="G1351" i="6" s="1"/>
  <c r="G1350" i="6" s="1"/>
  <c r="G1343" i="6" s="1"/>
  <c r="G1342" i="6" s="1"/>
  <c r="E37" i="1"/>
  <c r="E35" i="1" s="1"/>
  <c r="H1168" i="5"/>
  <c r="H1157" i="5" s="1"/>
  <c r="H1292" i="5"/>
  <c r="H1291" i="5" s="1"/>
  <c r="H1290" i="5" s="1"/>
  <c r="H1289" i="5" s="1"/>
  <c r="H270" i="5"/>
  <c r="H269" i="5" s="1"/>
  <c r="H268" i="5" s="1"/>
  <c r="H267" i="5" s="1"/>
  <c r="H897" i="5"/>
  <c r="H896" i="5" s="1"/>
  <c r="E24" i="1" s="1"/>
  <c r="H393" i="5"/>
  <c r="H366" i="5" s="1"/>
  <c r="H282" i="5"/>
  <c r="E45" i="1" s="1"/>
  <c r="H843" i="5"/>
  <c r="H842" i="5" s="1"/>
  <c r="E47" i="1" s="1"/>
  <c r="G68" i="6"/>
  <c r="G67" i="6" s="1"/>
  <c r="G56" i="6" s="1"/>
  <c r="G182" i="6"/>
  <c r="G438" i="6"/>
  <c r="G437" i="6" s="1"/>
  <c r="H143" i="5"/>
  <c r="H142" i="5" s="1"/>
  <c r="H228" i="5"/>
  <c r="H186" i="5" s="1"/>
  <c r="H1129" i="5"/>
  <c r="H1128" i="5" s="1"/>
  <c r="E32" i="1" s="1"/>
  <c r="E44" i="1"/>
  <c r="G914" i="6"/>
  <c r="G913" i="6" s="1"/>
  <c r="G702" i="6"/>
  <c r="G783" i="6"/>
  <c r="G774" i="6" s="1"/>
  <c r="H442" i="5"/>
  <c r="E63" i="1"/>
  <c r="E62" i="1" s="1"/>
  <c r="G632" i="6"/>
  <c r="G626" i="6" s="1"/>
  <c r="G870" i="6"/>
  <c r="H1113" i="5"/>
  <c r="G1005" i="6" s="1"/>
  <c r="G1004" i="6" s="1"/>
  <c r="G1003" i="6" s="1"/>
  <c r="G1006" i="6"/>
  <c r="G264" i="6"/>
  <c r="G545" i="6"/>
  <c r="G133" i="6"/>
  <c r="G132" i="6" s="1"/>
  <c r="G131" i="6" s="1"/>
  <c r="E25" i="1"/>
  <c r="G1087" i="6"/>
  <c r="G1064" i="6" s="1"/>
  <c r="G402" i="6"/>
  <c r="G401" i="6" s="1"/>
  <c r="G386" i="6" s="1"/>
  <c r="G217" i="6"/>
  <c r="G1205" i="6"/>
  <c r="G1185" i="6" s="1"/>
  <c r="G1221" i="5"/>
  <c r="I1221" i="5" s="1"/>
  <c r="K1221" i="5" s="1"/>
  <c r="M1221" i="5" s="1"/>
  <c r="O1221" i="5" s="1"/>
  <c r="I1223" i="5"/>
  <c r="K1223" i="5" s="1"/>
  <c r="M1223" i="5" s="1"/>
  <c r="O1223" i="5" s="1"/>
  <c r="H75" i="5"/>
  <c r="H976" i="5"/>
  <c r="H975" i="5" s="1"/>
  <c r="E49" i="1" s="1"/>
  <c r="H709" i="5"/>
  <c r="H708" i="5" s="1"/>
  <c r="H1085" i="5"/>
  <c r="H1084" i="5" s="1"/>
  <c r="E61" i="1" s="1"/>
  <c r="E58" i="1" s="1"/>
  <c r="H1037" i="5"/>
  <c r="H1036" i="5" s="1"/>
  <c r="E50" i="1" s="1"/>
  <c r="H864" i="5"/>
  <c r="H334" i="5"/>
  <c r="E46" i="1" s="1"/>
  <c r="H635" i="5"/>
  <c r="H634" i="5" s="1"/>
  <c r="H538" i="5"/>
  <c r="H489" i="5" s="1"/>
  <c r="G1133" i="5"/>
  <c r="I1133" i="5" s="1"/>
  <c r="K1133" i="5" s="1"/>
  <c r="M1133" i="5" s="1"/>
  <c r="O1133" i="5" s="1"/>
  <c r="G1209" i="5"/>
  <c r="I1209" i="5" s="1"/>
  <c r="K1209" i="5" s="1"/>
  <c r="M1209" i="5" s="1"/>
  <c r="O1209" i="5" s="1"/>
  <c r="A792" i="6"/>
  <c r="H44" i="5" l="1"/>
  <c r="H19" i="5" s="1"/>
  <c r="E43" i="1"/>
  <c r="E48" i="1"/>
  <c r="G107" i="6"/>
  <c r="G17" i="6" s="1"/>
  <c r="E57" i="1"/>
  <c r="H895" i="5"/>
  <c r="H894" i="5" s="1"/>
  <c r="E40" i="1"/>
  <c r="E39" i="1" s="1"/>
  <c r="H1118" i="5"/>
  <c r="E34" i="1"/>
  <c r="E29" i="1" s="1"/>
  <c r="H281" i="5"/>
  <c r="H357" i="5"/>
  <c r="E55" i="1"/>
  <c r="H1102" i="5"/>
  <c r="H1101" i="5" s="1"/>
  <c r="H974" i="5"/>
  <c r="H945" i="5" s="1"/>
  <c r="H141" i="5"/>
  <c r="E28" i="1"/>
  <c r="E27" i="1" s="1"/>
  <c r="H633" i="5"/>
  <c r="H632" i="5" s="1"/>
  <c r="E42" i="1"/>
  <c r="H1065" i="5"/>
  <c r="H1051" i="5" s="1"/>
  <c r="G912" i="6"/>
  <c r="F88" i="6"/>
  <c r="G648" i="5"/>
  <c r="A507" i="5"/>
  <c r="A88" i="6"/>
  <c r="A646" i="5"/>
  <c r="A647" i="5"/>
  <c r="A84" i="6"/>
  <c r="A87" i="6"/>
  <c r="A85" i="6"/>
  <c r="A649" i="5"/>
  <c r="A83" i="6"/>
  <c r="A648" i="5"/>
  <c r="E41" i="1" l="1"/>
  <c r="E53" i="1"/>
  <c r="H18" i="5"/>
  <c r="H1100" i="5"/>
  <c r="E26" i="1"/>
  <c r="E19" i="1" s="1"/>
  <c r="G647" i="5"/>
  <c r="I648" i="5"/>
  <c r="K648" i="5" s="1"/>
  <c r="M648" i="5" s="1"/>
  <c r="O648" i="5" s="1"/>
  <c r="F87" i="6"/>
  <c r="H88" i="6"/>
  <c r="J88" i="6" s="1"/>
  <c r="L88" i="6" s="1"/>
  <c r="N88" i="6" s="1"/>
  <c r="G1464" i="6"/>
  <c r="G437" i="5"/>
  <c r="I437" i="5" s="1"/>
  <c r="K437" i="5" s="1"/>
  <c r="M437" i="5" s="1"/>
  <c r="O437" i="5" s="1"/>
  <c r="F490" i="6"/>
  <c r="H490" i="6" s="1"/>
  <c r="J490" i="6" s="1"/>
  <c r="L490" i="6" s="1"/>
  <c r="N490" i="6" s="1"/>
  <c r="G278" i="5"/>
  <c r="I278" i="5" s="1"/>
  <c r="K278" i="5" s="1"/>
  <c r="M278" i="5" s="1"/>
  <c r="O278" i="5" s="1"/>
  <c r="G279" i="5"/>
  <c r="I279" i="5" s="1"/>
  <c r="K279" i="5" s="1"/>
  <c r="M279" i="5" s="1"/>
  <c r="O279" i="5" s="1"/>
  <c r="G32" i="5"/>
  <c r="I32" i="5" s="1"/>
  <c r="K32" i="5" s="1"/>
  <c r="M32" i="5" s="1"/>
  <c r="O32" i="5" s="1"/>
  <c r="G31" i="5"/>
  <c r="I31" i="5" s="1"/>
  <c r="K31" i="5" s="1"/>
  <c r="M31" i="5" s="1"/>
  <c r="O31" i="5" s="1"/>
  <c r="A277" i="5"/>
  <c r="A278" i="5"/>
  <c r="A279" i="5"/>
  <c r="A276" i="5"/>
  <c r="A280" i="5"/>
  <c r="E66" i="1" l="1"/>
  <c r="E68" i="1" s="1"/>
  <c r="H1323" i="5"/>
  <c r="H1325" i="5" s="1"/>
  <c r="G646" i="5"/>
  <c r="I646" i="5" s="1"/>
  <c r="K646" i="5" s="1"/>
  <c r="M646" i="5" s="1"/>
  <c r="O646" i="5" s="1"/>
  <c r="I647" i="5"/>
  <c r="K647" i="5" s="1"/>
  <c r="M647" i="5" s="1"/>
  <c r="O647" i="5" s="1"/>
  <c r="F86" i="6"/>
  <c r="H87" i="6"/>
  <c r="J87" i="6" s="1"/>
  <c r="L87" i="6" s="1"/>
  <c r="N87" i="6" s="1"/>
  <c r="G1466" i="6"/>
  <c r="G277" i="5"/>
  <c r="F488" i="6"/>
  <c r="H488" i="6" s="1"/>
  <c r="J488" i="6" s="1"/>
  <c r="L488" i="6" s="1"/>
  <c r="N488" i="6" s="1"/>
  <c r="G1016" i="5"/>
  <c r="I1016" i="5" s="1"/>
  <c r="K1016" i="5" s="1"/>
  <c r="M1016" i="5" s="1"/>
  <c r="O1016" i="5" s="1"/>
  <c r="G1046" i="5"/>
  <c r="I1046" i="5" s="1"/>
  <c r="K1046" i="5" s="1"/>
  <c r="M1046" i="5" s="1"/>
  <c r="O1046" i="5" s="1"/>
  <c r="G1011" i="5"/>
  <c r="I1011" i="5" s="1"/>
  <c r="K1011" i="5" s="1"/>
  <c r="M1011" i="5" s="1"/>
  <c r="O1011" i="5" s="1"/>
  <c r="G1012" i="5"/>
  <c r="I1012" i="5" s="1"/>
  <c r="K1012" i="5" s="1"/>
  <c r="M1012" i="5" s="1"/>
  <c r="O1012" i="5" s="1"/>
  <c r="G983" i="5"/>
  <c r="I983" i="5" s="1"/>
  <c r="K983" i="5" s="1"/>
  <c r="M983" i="5" s="1"/>
  <c r="O983" i="5" s="1"/>
  <c r="G276" i="5" l="1"/>
  <c r="I276" i="5" s="1"/>
  <c r="K276" i="5" s="1"/>
  <c r="M276" i="5" s="1"/>
  <c r="O276" i="5" s="1"/>
  <c r="I277" i="5"/>
  <c r="K277" i="5" s="1"/>
  <c r="M277" i="5" s="1"/>
  <c r="O277" i="5" s="1"/>
  <c r="F85" i="6"/>
  <c r="H86" i="6"/>
  <c r="J86" i="6" s="1"/>
  <c r="L86" i="6" s="1"/>
  <c r="N86" i="6" s="1"/>
  <c r="G980" i="5"/>
  <c r="I980" i="5" s="1"/>
  <c r="K980" i="5" s="1"/>
  <c r="M980" i="5" s="1"/>
  <c r="O980" i="5" s="1"/>
  <c r="G815" i="5"/>
  <c r="I815" i="5" s="1"/>
  <c r="K815" i="5" s="1"/>
  <c r="M815" i="5" s="1"/>
  <c r="O815" i="5" s="1"/>
  <c r="G887" i="5"/>
  <c r="I887" i="5" s="1"/>
  <c r="K887" i="5" s="1"/>
  <c r="M887" i="5" s="1"/>
  <c r="O887" i="5" s="1"/>
  <c r="F141" i="6"/>
  <c r="H141" i="6" s="1"/>
  <c r="J141" i="6" s="1"/>
  <c r="L141" i="6" s="1"/>
  <c r="N141" i="6" s="1"/>
  <c r="G735" i="5"/>
  <c r="I735" i="5" s="1"/>
  <c r="K735" i="5" s="1"/>
  <c r="M735" i="5" s="1"/>
  <c r="O735" i="5" s="1"/>
  <c r="G666" i="5"/>
  <c r="I666" i="5" s="1"/>
  <c r="K666" i="5" s="1"/>
  <c r="M666" i="5" s="1"/>
  <c r="O666" i="5" s="1"/>
  <c r="G717" i="5"/>
  <c r="I717" i="5" s="1"/>
  <c r="K717" i="5" s="1"/>
  <c r="M717" i="5" s="1"/>
  <c r="O717" i="5" s="1"/>
  <c r="G728" i="5"/>
  <c r="I728" i="5" s="1"/>
  <c r="K728" i="5" s="1"/>
  <c r="M728" i="5" s="1"/>
  <c r="O728" i="5" s="1"/>
  <c r="G727" i="5"/>
  <c r="I727" i="5" s="1"/>
  <c r="K727" i="5" s="1"/>
  <c r="M727" i="5" s="1"/>
  <c r="O727" i="5" s="1"/>
  <c r="G640" i="5"/>
  <c r="I640" i="5" s="1"/>
  <c r="K640" i="5" s="1"/>
  <c r="M640" i="5" s="1"/>
  <c r="O640" i="5" s="1"/>
  <c r="G641" i="5"/>
  <c r="I641" i="5" s="1"/>
  <c r="K641" i="5" s="1"/>
  <c r="M641" i="5" s="1"/>
  <c r="O641" i="5" s="1"/>
  <c r="A675" i="5"/>
  <c r="A141" i="6"/>
  <c r="A737" i="5"/>
  <c r="F84" i="6" l="1"/>
  <c r="H85" i="6"/>
  <c r="J85" i="6" s="1"/>
  <c r="L85" i="6" s="1"/>
  <c r="N85" i="6" s="1"/>
  <c r="G814" i="5"/>
  <c r="G1058" i="5"/>
  <c r="I1058" i="5" s="1"/>
  <c r="K1058" i="5" s="1"/>
  <c r="M1058" i="5" s="1"/>
  <c r="O1058" i="5" s="1"/>
  <c r="G1057" i="5"/>
  <c r="I1057" i="5" s="1"/>
  <c r="K1057" i="5" s="1"/>
  <c r="M1057" i="5" s="1"/>
  <c r="O1057" i="5" s="1"/>
  <c r="F971" i="6"/>
  <c r="F966" i="6"/>
  <c r="G1174" i="5"/>
  <c r="G101" i="5"/>
  <c r="G98" i="5"/>
  <c r="G323" i="5"/>
  <c r="G56" i="5"/>
  <c r="I56" i="5" s="1"/>
  <c r="K56" i="5" s="1"/>
  <c r="M56" i="5" s="1"/>
  <c r="O56" i="5" s="1"/>
  <c r="A965" i="6"/>
  <c r="A962" i="6"/>
  <c r="A1175" i="5"/>
  <c r="A1173" i="5"/>
  <c r="A97" i="5"/>
  <c r="A1239" i="6"/>
  <c r="A322" i="5"/>
  <c r="A1174" i="5"/>
  <c r="A966" i="6"/>
  <c r="A963" i="6"/>
  <c r="G1173" i="5" l="1"/>
  <c r="I1173" i="5" s="1"/>
  <c r="K1173" i="5" s="1"/>
  <c r="M1173" i="5" s="1"/>
  <c r="O1173" i="5" s="1"/>
  <c r="I1174" i="5"/>
  <c r="K1174" i="5" s="1"/>
  <c r="M1174" i="5" s="1"/>
  <c r="O1174" i="5" s="1"/>
  <c r="G322" i="5"/>
  <c r="I323" i="5"/>
  <c r="K323" i="5" s="1"/>
  <c r="M323" i="5" s="1"/>
  <c r="O323" i="5" s="1"/>
  <c r="G813" i="5"/>
  <c r="I813" i="5" s="1"/>
  <c r="K813" i="5" s="1"/>
  <c r="M813" i="5" s="1"/>
  <c r="O813" i="5" s="1"/>
  <c r="I814" i="5"/>
  <c r="K814" i="5" s="1"/>
  <c r="M814" i="5" s="1"/>
  <c r="O814" i="5" s="1"/>
  <c r="G97" i="5"/>
  <c r="I97" i="5" s="1"/>
  <c r="K97" i="5" s="1"/>
  <c r="M97" i="5" s="1"/>
  <c r="O97" i="5" s="1"/>
  <c r="I98" i="5"/>
  <c r="K98" i="5" s="1"/>
  <c r="M98" i="5" s="1"/>
  <c r="O98" i="5" s="1"/>
  <c r="G100" i="5"/>
  <c r="I100" i="5" s="1"/>
  <c r="K100" i="5" s="1"/>
  <c r="M100" i="5" s="1"/>
  <c r="O100" i="5" s="1"/>
  <c r="I101" i="5"/>
  <c r="K101" i="5" s="1"/>
  <c r="M101" i="5" s="1"/>
  <c r="O101" i="5" s="1"/>
  <c r="F83" i="6"/>
  <c r="H83" i="6" s="1"/>
  <c r="J83" i="6" s="1"/>
  <c r="L83" i="6" s="1"/>
  <c r="N83" i="6" s="1"/>
  <c r="H84" i="6"/>
  <c r="J84" i="6" s="1"/>
  <c r="L84" i="6" s="1"/>
  <c r="N84" i="6" s="1"/>
  <c r="F970" i="6"/>
  <c r="H971" i="6"/>
  <c r="J971" i="6" s="1"/>
  <c r="L971" i="6" s="1"/>
  <c r="N971" i="6" s="1"/>
  <c r="F965" i="6"/>
  <c r="H966" i="6"/>
  <c r="J966" i="6" s="1"/>
  <c r="L966" i="6" s="1"/>
  <c r="N966" i="6" s="1"/>
  <c r="G49" i="5"/>
  <c r="I49" i="5" s="1"/>
  <c r="K49" i="5" s="1"/>
  <c r="M49" i="5" s="1"/>
  <c r="O49" i="5" s="1"/>
  <c r="G341" i="5"/>
  <c r="I341" i="5" s="1"/>
  <c r="K341" i="5" s="1"/>
  <c r="M341" i="5" s="1"/>
  <c r="O341" i="5" s="1"/>
  <c r="G191" i="5"/>
  <c r="I191" i="5" s="1"/>
  <c r="K191" i="5" s="1"/>
  <c r="M191" i="5" s="1"/>
  <c r="O191" i="5" s="1"/>
  <c r="G803" i="5"/>
  <c r="I803" i="5" s="1"/>
  <c r="K803" i="5" s="1"/>
  <c r="M803" i="5" s="1"/>
  <c r="O803" i="5" s="1"/>
  <c r="G802" i="5"/>
  <c r="I802" i="5" s="1"/>
  <c r="K802" i="5" s="1"/>
  <c r="M802" i="5" s="1"/>
  <c r="O802" i="5" s="1"/>
  <c r="G723" i="5"/>
  <c r="I723" i="5" s="1"/>
  <c r="K723" i="5" s="1"/>
  <c r="M723" i="5" s="1"/>
  <c r="O723" i="5" s="1"/>
  <c r="G724" i="5"/>
  <c r="I724" i="5" s="1"/>
  <c r="K724" i="5" s="1"/>
  <c r="M724" i="5" s="1"/>
  <c r="O724" i="5" s="1"/>
  <c r="G644" i="5"/>
  <c r="I644" i="5" s="1"/>
  <c r="K644" i="5" s="1"/>
  <c r="M644" i="5" s="1"/>
  <c r="O644" i="5" s="1"/>
  <c r="G645" i="5"/>
  <c r="I645" i="5" s="1"/>
  <c r="K645" i="5" s="1"/>
  <c r="M645" i="5" s="1"/>
  <c r="O645" i="5" s="1"/>
  <c r="A968" i="6"/>
  <c r="A971" i="6"/>
  <c r="A970" i="6"/>
  <c r="A967" i="6"/>
  <c r="G96" i="5" l="1"/>
  <c r="G95" i="5" s="1"/>
  <c r="I95" i="5" s="1"/>
  <c r="K95" i="5" s="1"/>
  <c r="M95" i="5" s="1"/>
  <c r="O95" i="5" s="1"/>
  <c r="G321" i="5"/>
  <c r="I322" i="5"/>
  <c r="K322" i="5" s="1"/>
  <c r="M322" i="5" s="1"/>
  <c r="O322" i="5" s="1"/>
  <c r="F964" i="6"/>
  <c r="H965" i="6"/>
  <c r="J965" i="6" s="1"/>
  <c r="L965" i="6" s="1"/>
  <c r="N965" i="6" s="1"/>
  <c r="F969" i="6"/>
  <c r="H970" i="6"/>
  <c r="J970" i="6" s="1"/>
  <c r="L970" i="6" s="1"/>
  <c r="N970" i="6" s="1"/>
  <c r="F992" i="6"/>
  <c r="G1145" i="5"/>
  <c r="G1139" i="5"/>
  <c r="I1139" i="5" s="1"/>
  <c r="K1139" i="5" s="1"/>
  <c r="M1139" i="5" s="1"/>
  <c r="O1139" i="5" s="1"/>
  <c r="G1136" i="5"/>
  <c r="I1136" i="5" s="1"/>
  <c r="K1136" i="5" s="1"/>
  <c r="M1136" i="5" s="1"/>
  <c r="O1136" i="5" s="1"/>
  <c r="A992" i="6"/>
  <c r="A945" i="6"/>
  <c r="A1138" i="5"/>
  <c r="A991" i="6"/>
  <c r="A1144" i="5"/>
  <c r="A1146" i="5"/>
  <c r="A1145" i="5"/>
  <c r="A942" i="6"/>
  <c r="A1139" i="5"/>
  <c r="A988" i="6"/>
  <c r="A946" i="6"/>
  <c r="A1143" i="5"/>
  <c r="A989" i="6"/>
  <c r="A943" i="6"/>
  <c r="A1137" i="5"/>
  <c r="I96" i="5" l="1"/>
  <c r="K96" i="5" s="1"/>
  <c r="M96" i="5" s="1"/>
  <c r="O96" i="5" s="1"/>
  <c r="G1144" i="5"/>
  <c r="I1145" i="5"/>
  <c r="K1145" i="5" s="1"/>
  <c r="M1145" i="5" s="1"/>
  <c r="O1145" i="5" s="1"/>
  <c r="G320" i="5"/>
  <c r="I320" i="5" s="1"/>
  <c r="K320" i="5" s="1"/>
  <c r="M320" i="5" s="1"/>
  <c r="O320" i="5" s="1"/>
  <c r="I321" i="5"/>
  <c r="K321" i="5" s="1"/>
  <c r="M321" i="5" s="1"/>
  <c r="O321" i="5" s="1"/>
  <c r="F963" i="6"/>
  <c r="H964" i="6"/>
  <c r="J964" i="6" s="1"/>
  <c r="L964" i="6" s="1"/>
  <c r="N964" i="6" s="1"/>
  <c r="F991" i="6"/>
  <c r="H992" i="6"/>
  <c r="J992" i="6" s="1"/>
  <c r="L992" i="6" s="1"/>
  <c r="N992" i="6" s="1"/>
  <c r="F968" i="6"/>
  <c r="H969" i="6"/>
  <c r="J969" i="6" s="1"/>
  <c r="L969" i="6" s="1"/>
  <c r="N969" i="6" s="1"/>
  <c r="G1138" i="5"/>
  <c r="F946" i="6"/>
  <c r="G447" i="5"/>
  <c r="I447" i="5" s="1"/>
  <c r="K447" i="5" s="1"/>
  <c r="M447" i="5" s="1"/>
  <c r="O447" i="5" s="1"/>
  <c r="A388" i="6"/>
  <c r="A174" i="5"/>
  <c r="G1137" i="5" l="1"/>
  <c r="I1137" i="5" s="1"/>
  <c r="K1137" i="5" s="1"/>
  <c r="M1137" i="5" s="1"/>
  <c r="O1137" i="5" s="1"/>
  <c r="I1138" i="5"/>
  <c r="K1138" i="5" s="1"/>
  <c r="M1138" i="5" s="1"/>
  <c r="O1138" i="5" s="1"/>
  <c r="G1143" i="5"/>
  <c r="I1143" i="5" s="1"/>
  <c r="K1143" i="5" s="1"/>
  <c r="M1143" i="5" s="1"/>
  <c r="O1143" i="5" s="1"/>
  <c r="I1144" i="5"/>
  <c r="K1144" i="5" s="1"/>
  <c r="M1144" i="5" s="1"/>
  <c r="O1144" i="5" s="1"/>
  <c r="F967" i="6"/>
  <c r="H967" i="6" s="1"/>
  <c r="J967" i="6" s="1"/>
  <c r="L967" i="6" s="1"/>
  <c r="N967" i="6" s="1"/>
  <c r="H968" i="6"/>
  <c r="J968" i="6" s="1"/>
  <c r="L968" i="6" s="1"/>
  <c r="N968" i="6" s="1"/>
  <c r="F990" i="6"/>
  <c r="H991" i="6"/>
  <c r="J991" i="6" s="1"/>
  <c r="L991" i="6" s="1"/>
  <c r="N991" i="6" s="1"/>
  <c r="F962" i="6"/>
  <c r="H962" i="6" s="1"/>
  <c r="J962" i="6" s="1"/>
  <c r="L962" i="6" s="1"/>
  <c r="N962" i="6" s="1"/>
  <c r="H963" i="6"/>
  <c r="J963" i="6" s="1"/>
  <c r="L963" i="6" s="1"/>
  <c r="N963" i="6" s="1"/>
  <c r="F945" i="6"/>
  <c r="H946" i="6"/>
  <c r="J946" i="6" s="1"/>
  <c r="L946" i="6" s="1"/>
  <c r="N946" i="6" s="1"/>
  <c r="F1150" i="6"/>
  <c r="F1459" i="6"/>
  <c r="F1458" i="6" l="1"/>
  <c r="H1458" i="6" s="1"/>
  <c r="J1458" i="6" s="1"/>
  <c r="L1458" i="6" s="1"/>
  <c r="N1458" i="6" s="1"/>
  <c r="H1459" i="6"/>
  <c r="J1459" i="6" s="1"/>
  <c r="L1459" i="6" s="1"/>
  <c r="N1459" i="6" s="1"/>
  <c r="F944" i="6"/>
  <c r="H945" i="6"/>
  <c r="J945" i="6" s="1"/>
  <c r="L945" i="6" s="1"/>
  <c r="N945" i="6" s="1"/>
  <c r="F989" i="6"/>
  <c r="H990" i="6"/>
  <c r="J990" i="6" s="1"/>
  <c r="L990" i="6" s="1"/>
  <c r="N990" i="6" s="1"/>
  <c r="F1149" i="6"/>
  <c r="H1150" i="6"/>
  <c r="J1150" i="6" s="1"/>
  <c r="L1150" i="6" s="1"/>
  <c r="N1150" i="6" s="1"/>
  <c r="F987" i="6"/>
  <c r="G1178" i="5"/>
  <c r="A1176" i="5"/>
  <c r="A987" i="6"/>
  <c r="A986" i="6"/>
  <c r="A983" i="6"/>
  <c r="A982" i="6"/>
  <c r="A984" i="6"/>
  <c r="G1177" i="5" l="1"/>
  <c r="I1178" i="5"/>
  <c r="K1178" i="5" s="1"/>
  <c r="M1178" i="5" s="1"/>
  <c r="O1178" i="5" s="1"/>
  <c r="F988" i="6"/>
  <c r="H988" i="6" s="1"/>
  <c r="J988" i="6" s="1"/>
  <c r="L988" i="6" s="1"/>
  <c r="N988" i="6" s="1"/>
  <c r="H989" i="6"/>
  <c r="J989" i="6" s="1"/>
  <c r="L989" i="6" s="1"/>
  <c r="N989" i="6" s="1"/>
  <c r="F1148" i="6"/>
  <c r="H1149" i="6"/>
  <c r="J1149" i="6" s="1"/>
  <c r="L1149" i="6" s="1"/>
  <c r="N1149" i="6" s="1"/>
  <c r="F943" i="6"/>
  <c r="H944" i="6"/>
  <c r="J944" i="6" s="1"/>
  <c r="L944" i="6" s="1"/>
  <c r="N944" i="6" s="1"/>
  <c r="F986" i="6"/>
  <c r="H987" i="6"/>
  <c r="J987" i="6" s="1"/>
  <c r="L987" i="6" s="1"/>
  <c r="N987" i="6" s="1"/>
  <c r="G26" i="5"/>
  <c r="I26" i="5" s="1"/>
  <c r="K26" i="5" s="1"/>
  <c r="M26" i="5" s="1"/>
  <c r="O26" i="5" s="1"/>
  <c r="A23" i="5"/>
  <c r="A22" i="5"/>
  <c r="A25" i="5"/>
  <c r="A26" i="5"/>
  <c r="A18" i="5"/>
  <c r="A19" i="5"/>
  <c r="A27" i="5"/>
  <c r="A21" i="5"/>
  <c r="A24" i="5"/>
  <c r="G1176" i="5" l="1"/>
  <c r="I1177" i="5"/>
  <c r="K1177" i="5" s="1"/>
  <c r="M1177" i="5" s="1"/>
  <c r="O1177" i="5" s="1"/>
  <c r="F985" i="6"/>
  <c r="H986" i="6"/>
  <c r="J986" i="6" s="1"/>
  <c r="L986" i="6" s="1"/>
  <c r="N986" i="6" s="1"/>
  <c r="F942" i="6"/>
  <c r="H942" i="6" s="1"/>
  <c r="J942" i="6" s="1"/>
  <c r="L942" i="6" s="1"/>
  <c r="N942" i="6" s="1"/>
  <c r="H943" i="6"/>
  <c r="J943" i="6" s="1"/>
  <c r="L943" i="6" s="1"/>
  <c r="N943" i="6" s="1"/>
  <c r="F1147" i="6"/>
  <c r="H1148" i="6"/>
  <c r="J1148" i="6" s="1"/>
  <c r="L1148" i="6" s="1"/>
  <c r="N1148" i="6" s="1"/>
  <c r="G25" i="5"/>
  <c r="I25" i="5" s="1"/>
  <c r="K25" i="5" s="1"/>
  <c r="M25" i="5" s="1"/>
  <c r="O25" i="5" s="1"/>
  <c r="G27" i="5"/>
  <c r="I27" i="5" s="1"/>
  <c r="K27" i="5" s="1"/>
  <c r="M27" i="5" s="1"/>
  <c r="O27" i="5" s="1"/>
  <c r="A30" i="5"/>
  <c r="A28" i="5"/>
  <c r="A29" i="5"/>
  <c r="G1169" i="5" l="1"/>
  <c r="I1169" i="5" s="1"/>
  <c r="K1169" i="5" s="1"/>
  <c r="M1169" i="5" s="1"/>
  <c r="O1169" i="5" s="1"/>
  <c r="I1176" i="5"/>
  <c r="K1176" i="5" s="1"/>
  <c r="M1176" i="5" s="1"/>
  <c r="O1176" i="5" s="1"/>
  <c r="F1146" i="6"/>
  <c r="H1146" i="6" s="1"/>
  <c r="J1146" i="6" s="1"/>
  <c r="L1146" i="6" s="1"/>
  <c r="N1146" i="6" s="1"/>
  <c r="H1147" i="6"/>
  <c r="J1147" i="6" s="1"/>
  <c r="L1147" i="6" s="1"/>
  <c r="N1147" i="6" s="1"/>
  <c r="F984" i="6"/>
  <c r="H985" i="6"/>
  <c r="J985" i="6" s="1"/>
  <c r="L985" i="6" s="1"/>
  <c r="N985" i="6" s="1"/>
  <c r="G24" i="5"/>
  <c r="I24" i="5" s="1"/>
  <c r="K24" i="5" s="1"/>
  <c r="M24" i="5" s="1"/>
  <c r="O24" i="5" s="1"/>
  <c r="G30" i="5"/>
  <c r="G35" i="5"/>
  <c r="G42" i="5"/>
  <c r="A32" i="5"/>
  <c r="A40" i="5"/>
  <c r="A39" i="5"/>
  <c r="A31" i="5"/>
  <c r="A42" i="5"/>
  <c r="A43" i="5"/>
  <c r="A38" i="5"/>
  <c r="A36" i="5"/>
  <c r="A34" i="5"/>
  <c r="A35" i="5"/>
  <c r="A33" i="5"/>
  <c r="A41" i="5"/>
  <c r="G29" i="5" l="1"/>
  <c r="I29" i="5" s="1"/>
  <c r="K29" i="5" s="1"/>
  <c r="M29" i="5" s="1"/>
  <c r="O29" i="5" s="1"/>
  <c r="I30" i="5"/>
  <c r="K30" i="5" s="1"/>
  <c r="M30" i="5" s="1"/>
  <c r="O30" i="5" s="1"/>
  <c r="G41" i="5"/>
  <c r="I42" i="5"/>
  <c r="K42" i="5" s="1"/>
  <c r="M42" i="5" s="1"/>
  <c r="O42" i="5" s="1"/>
  <c r="F983" i="6"/>
  <c r="H984" i="6"/>
  <c r="J984" i="6" s="1"/>
  <c r="L984" i="6" s="1"/>
  <c r="N984" i="6" s="1"/>
  <c r="G34" i="5"/>
  <c r="I34" i="5" s="1"/>
  <c r="K34" i="5" s="1"/>
  <c r="M34" i="5" s="1"/>
  <c r="O34" i="5" s="1"/>
  <c r="I35" i="5"/>
  <c r="K35" i="5" s="1"/>
  <c r="M35" i="5" s="1"/>
  <c r="O35" i="5" s="1"/>
  <c r="A46" i="5"/>
  <c r="A49" i="5"/>
  <c r="A48" i="5"/>
  <c r="A45" i="5"/>
  <c r="A47" i="5"/>
  <c r="A50" i="5"/>
  <c r="G40" i="5" l="1"/>
  <c r="I41" i="5"/>
  <c r="K41" i="5" s="1"/>
  <c r="M41" i="5" s="1"/>
  <c r="O41" i="5" s="1"/>
  <c r="F982" i="6"/>
  <c r="H982" i="6" s="1"/>
  <c r="J982" i="6" s="1"/>
  <c r="L982" i="6" s="1"/>
  <c r="N982" i="6" s="1"/>
  <c r="H983" i="6"/>
  <c r="J983" i="6" s="1"/>
  <c r="L983" i="6" s="1"/>
  <c r="N983" i="6" s="1"/>
  <c r="G23" i="5"/>
  <c r="G48" i="5"/>
  <c r="I48" i="5" s="1"/>
  <c r="K48" i="5" s="1"/>
  <c r="M48" i="5" s="1"/>
  <c r="O48" i="5" s="1"/>
  <c r="G50" i="5"/>
  <c r="I50" i="5" s="1"/>
  <c r="K50" i="5" s="1"/>
  <c r="M50" i="5" s="1"/>
  <c r="O50" i="5" s="1"/>
  <c r="A51" i="5"/>
  <c r="A52" i="5"/>
  <c r="A53" i="5"/>
  <c r="I40" i="5" l="1"/>
  <c r="K40" i="5" s="1"/>
  <c r="M40" i="5" s="1"/>
  <c r="O40" i="5" s="1"/>
  <c r="G39" i="5"/>
  <c r="G37" i="5"/>
  <c r="I37" i="5" s="1"/>
  <c r="K37" i="5" s="1"/>
  <c r="M37" i="5" s="1"/>
  <c r="O37" i="5" s="1"/>
  <c r="G22" i="5"/>
  <c r="I23" i="5"/>
  <c r="K23" i="5" s="1"/>
  <c r="M23" i="5" s="1"/>
  <c r="O23" i="5" s="1"/>
  <c r="G53" i="5"/>
  <c r="I53" i="5" s="1"/>
  <c r="K53" i="5" s="1"/>
  <c r="M53" i="5" s="1"/>
  <c r="O53" i="5" s="1"/>
  <c r="A54" i="5"/>
  <c r="A55" i="5"/>
  <c r="G38" i="5" l="1"/>
  <c r="I38" i="5" s="1"/>
  <c r="K38" i="5" s="1"/>
  <c r="M38" i="5" s="1"/>
  <c r="O38" i="5" s="1"/>
  <c r="I39" i="5"/>
  <c r="K39" i="5" s="1"/>
  <c r="M39" i="5" s="1"/>
  <c r="O39" i="5" s="1"/>
  <c r="G21" i="5"/>
  <c r="I22" i="5"/>
  <c r="K22" i="5" s="1"/>
  <c r="M22" i="5" s="1"/>
  <c r="O22" i="5" s="1"/>
  <c r="G52" i="5"/>
  <c r="G55" i="5"/>
  <c r="I55" i="5" s="1"/>
  <c r="K55" i="5" s="1"/>
  <c r="M55" i="5" s="1"/>
  <c r="O55" i="5" s="1"/>
  <c r="A56" i="5"/>
  <c r="A57" i="5"/>
  <c r="G47" i="5" l="1"/>
  <c r="I47" i="5" s="1"/>
  <c r="K47" i="5" s="1"/>
  <c r="M47" i="5" s="1"/>
  <c r="O47" i="5" s="1"/>
  <c r="I52" i="5"/>
  <c r="K52" i="5" s="1"/>
  <c r="M52" i="5" s="1"/>
  <c r="O52" i="5" s="1"/>
  <c r="G20" i="5"/>
  <c r="I20" i="5" s="1"/>
  <c r="K20" i="5" s="1"/>
  <c r="M20" i="5" s="1"/>
  <c r="O20" i="5" s="1"/>
  <c r="I21" i="5"/>
  <c r="K21" i="5" s="1"/>
  <c r="M21" i="5" s="1"/>
  <c r="O21" i="5" s="1"/>
  <c r="G57" i="5"/>
  <c r="G61" i="5"/>
  <c r="G65" i="5"/>
  <c r="G69" i="5"/>
  <c r="G73" i="5"/>
  <c r="G79" i="5"/>
  <c r="I79" i="5" s="1"/>
  <c r="K79" i="5" s="1"/>
  <c r="M79" i="5" s="1"/>
  <c r="O79" i="5" s="1"/>
  <c r="A68" i="5"/>
  <c r="A63" i="5"/>
  <c r="A70" i="5"/>
  <c r="A59" i="5"/>
  <c r="A58" i="5"/>
  <c r="A71" i="5"/>
  <c r="A76" i="5"/>
  <c r="A60" i="5"/>
  <c r="A80" i="5"/>
  <c r="A67" i="5"/>
  <c r="A74" i="5"/>
  <c r="A65" i="5"/>
  <c r="A66" i="5"/>
  <c r="A64" i="5"/>
  <c r="A75" i="5"/>
  <c r="A61" i="5"/>
  <c r="A69" i="5"/>
  <c r="A72" i="5"/>
  <c r="A79" i="5"/>
  <c r="A78" i="5"/>
  <c r="A62" i="5"/>
  <c r="A73" i="5"/>
  <c r="A77" i="5"/>
  <c r="G68" i="5" l="1"/>
  <c r="I68" i="5" s="1"/>
  <c r="K68" i="5" s="1"/>
  <c r="M68" i="5" s="1"/>
  <c r="O68" i="5" s="1"/>
  <c r="I69" i="5"/>
  <c r="K69" i="5" s="1"/>
  <c r="M69" i="5" s="1"/>
  <c r="O69" i="5" s="1"/>
  <c r="G64" i="5"/>
  <c r="I64" i="5" s="1"/>
  <c r="K64" i="5" s="1"/>
  <c r="M64" i="5" s="1"/>
  <c r="O64" i="5" s="1"/>
  <c r="I65" i="5"/>
  <c r="K65" i="5" s="1"/>
  <c r="M65" i="5" s="1"/>
  <c r="O65" i="5" s="1"/>
  <c r="G60" i="5"/>
  <c r="I61" i="5"/>
  <c r="K61" i="5" s="1"/>
  <c r="M61" i="5" s="1"/>
  <c r="O61" i="5" s="1"/>
  <c r="G72" i="5"/>
  <c r="I73" i="5"/>
  <c r="K73" i="5" s="1"/>
  <c r="M73" i="5" s="1"/>
  <c r="O73" i="5" s="1"/>
  <c r="G54" i="5"/>
  <c r="I57" i="5"/>
  <c r="K57" i="5" s="1"/>
  <c r="M57" i="5" s="1"/>
  <c r="O57" i="5" s="1"/>
  <c r="G78" i="5"/>
  <c r="I78" i="5" s="1"/>
  <c r="K78" i="5" s="1"/>
  <c r="M78" i="5" s="1"/>
  <c r="O78" i="5" s="1"/>
  <c r="G80" i="5"/>
  <c r="I80" i="5" s="1"/>
  <c r="K80" i="5" s="1"/>
  <c r="M80" i="5" s="1"/>
  <c r="O80" i="5" s="1"/>
  <c r="A81" i="5"/>
  <c r="A83" i="5"/>
  <c r="A82" i="5"/>
  <c r="G46" i="5" l="1"/>
  <c r="I54" i="5"/>
  <c r="K54" i="5" s="1"/>
  <c r="M54" i="5" s="1"/>
  <c r="O54" i="5" s="1"/>
  <c r="G59" i="5"/>
  <c r="I59" i="5" s="1"/>
  <c r="K59" i="5" s="1"/>
  <c r="M59" i="5" s="1"/>
  <c r="O59" i="5" s="1"/>
  <c r="I60" i="5"/>
  <c r="K60" i="5" s="1"/>
  <c r="M60" i="5" s="1"/>
  <c r="O60" i="5" s="1"/>
  <c r="G63" i="5"/>
  <c r="I63" i="5" s="1"/>
  <c r="K63" i="5" s="1"/>
  <c r="M63" i="5" s="1"/>
  <c r="O63" i="5" s="1"/>
  <c r="G71" i="5"/>
  <c r="I71" i="5" s="1"/>
  <c r="K71" i="5" s="1"/>
  <c r="M71" i="5" s="1"/>
  <c r="O71" i="5" s="1"/>
  <c r="I72" i="5"/>
  <c r="K72" i="5" s="1"/>
  <c r="M72" i="5" s="1"/>
  <c r="O72" i="5" s="1"/>
  <c r="G83" i="5"/>
  <c r="I83" i="5" s="1"/>
  <c r="K83" i="5" s="1"/>
  <c r="M83" i="5" s="1"/>
  <c r="O83" i="5" s="1"/>
  <c r="A84" i="5"/>
  <c r="A85" i="5"/>
  <c r="A86" i="5"/>
  <c r="G45" i="5" l="1"/>
  <c r="I45" i="5" s="1"/>
  <c r="K45" i="5" s="1"/>
  <c r="M45" i="5" s="1"/>
  <c r="O45" i="5" s="1"/>
  <c r="I46" i="5"/>
  <c r="K46" i="5" s="1"/>
  <c r="M46" i="5" s="1"/>
  <c r="O46" i="5" s="1"/>
  <c r="G82" i="5"/>
  <c r="G86" i="5"/>
  <c r="A87" i="5"/>
  <c r="A89" i="5"/>
  <c r="A88" i="5"/>
  <c r="G85" i="5" l="1"/>
  <c r="I85" i="5" s="1"/>
  <c r="K85" i="5" s="1"/>
  <c r="M85" i="5" s="1"/>
  <c r="O85" i="5" s="1"/>
  <c r="I86" i="5"/>
  <c r="K86" i="5" s="1"/>
  <c r="M86" i="5" s="1"/>
  <c r="O86" i="5" s="1"/>
  <c r="G77" i="5"/>
  <c r="I82" i="5"/>
  <c r="K82" i="5" s="1"/>
  <c r="M82" i="5" s="1"/>
  <c r="O82" i="5" s="1"/>
  <c r="G89" i="5"/>
  <c r="G93" i="5"/>
  <c r="G105" i="5"/>
  <c r="G108" i="5"/>
  <c r="G116" i="5"/>
  <c r="G119" i="5"/>
  <c r="G122" i="5"/>
  <c r="G126" i="5"/>
  <c r="G136" i="5"/>
  <c r="G139" i="5"/>
  <c r="G146" i="5"/>
  <c r="I146" i="5" s="1"/>
  <c r="K146" i="5" s="1"/>
  <c r="M146" i="5" s="1"/>
  <c r="O146" i="5" s="1"/>
  <c r="A107" i="5"/>
  <c r="A139" i="5"/>
  <c r="A118" i="5"/>
  <c r="A123" i="5"/>
  <c r="A146" i="5"/>
  <c r="A144" i="5"/>
  <c r="A94" i="5"/>
  <c r="A137" i="5"/>
  <c r="A116" i="5"/>
  <c r="A99" i="5"/>
  <c r="A113" i="5"/>
  <c r="A103" i="5"/>
  <c r="A147" i="5"/>
  <c r="A105" i="5"/>
  <c r="A119" i="5"/>
  <c r="A128" i="5"/>
  <c r="A141" i="5"/>
  <c r="A114" i="5"/>
  <c r="A98" i="5"/>
  <c r="A120" i="5"/>
  <c r="A93" i="5"/>
  <c r="A100" i="5"/>
  <c r="A138" i="5"/>
  <c r="A127" i="5"/>
  <c r="A126" i="5"/>
  <c r="A122" i="5"/>
  <c r="A143" i="5"/>
  <c r="A136" i="5"/>
  <c r="A135" i="5"/>
  <c r="A102" i="5"/>
  <c r="A104" i="5"/>
  <c r="A124" i="5"/>
  <c r="A95" i="5"/>
  <c r="A109" i="5"/>
  <c r="A106" i="5"/>
  <c r="A134" i="5"/>
  <c r="A92" i="5"/>
  <c r="A101" i="5"/>
  <c r="A91" i="5"/>
  <c r="A121" i="5"/>
  <c r="A140" i="5"/>
  <c r="A96" i="5"/>
  <c r="A117" i="5"/>
  <c r="A108" i="5"/>
  <c r="A145" i="5"/>
  <c r="A90" i="5"/>
  <c r="G121" i="5" l="1"/>
  <c r="I121" i="5" s="1"/>
  <c r="K121" i="5" s="1"/>
  <c r="M121" i="5" s="1"/>
  <c r="O121" i="5" s="1"/>
  <c r="I122" i="5"/>
  <c r="K122" i="5" s="1"/>
  <c r="M122" i="5" s="1"/>
  <c r="O122" i="5" s="1"/>
  <c r="G104" i="5"/>
  <c r="I104" i="5" s="1"/>
  <c r="K104" i="5" s="1"/>
  <c r="M104" i="5" s="1"/>
  <c r="O104" i="5" s="1"/>
  <c r="I105" i="5"/>
  <c r="K105" i="5" s="1"/>
  <c r="M105" i="5" s="1"/>
  <c r="O105" i="5" s="1"/>
  <c r="G76" i="5"/>
  <c r="I76" i="5" s="1"/>
  <c r="K76" i="5" s="1"/>
  <c r="M76" i="5" s="1"/>
  <c r="O76" i="5" s="1"/>
  <c r="I77" i="5"/>
  <c r="K77" i="5" s="1"/>
  <c r="M77" i="5" s="1"/>
  <c r="O77" i="5" s="1"/>
  <c r="G138" i="5"/>
  <c r="I138" i="5" s="1"/>
  <c r="K138" i="5" s="1"/>
  <c r="M138" i="5" s="1"/>
  <c r="O138" i="5" s="1"/>
  <c r="I139" i="5"/>
  <c r="K139" i="5" s="1"/>
  <c r="M139" i="5" s="1"/>
  <c r="O139" i="5" s="1"/>
  <c r="G118" i="5"/>
  <c r="I118" i="5" s="1"/>
  <c r="K118" i="5" s="1"/>
  <c r="M118" i="5" s="1"/>
  <c r="O118" i="5" s="1"/>
  <c r="I119" i="5"/>
  <c r="K119" i="5" s="1"/>
  <c r="M119" i="5" s="1"/>
  <c r="O119" i="5" s="1"/>
  <c r="G92" i="5"/>
  <c r="I93" i="5"/>
  <c r="K93" i="5" s="1"/>
  <c r="M93" i="5" s="1"/>
  <c r="O93" i="5" s="1"/>
  <c r="G125" i="5"/>
  <c r="I126" i="5"/>
  <c r="K126" i="5" s="1"/>
  <c r="M126" i="5" s="1"/>
  <c r="O126" i="5" s="1"/>
  <c r="G107" i="5"/>
  <c r="I107" i="5" s="1"/>
  <c r="K107" i="5" s="1"/>
  <c r="M107" i="5" s="1"/>
  <c r="O107" i="5" s="1"/>
  <c r="I108" i="5"/>
  <c r="K108" i="5" s="1"/>
  <c r="M108" i="5" s="1"/>
  <c r="O108" i="5" s="1"/>
  <c r="G135" i="5"/>
  <c r="I135" i="5" s="1"/>
  <c r="K135" i="5" s="1"/>
  <c r="M135" i="5" s="1"/>
  <c r="O135" i="5" s="1"/>
  <c r="I136" i="5"/>
  <c r="K136" i="5" s="1"/>
  <c r="M136" i="5" s="1"/>
  <c r="O136" i="5" s="1"/>
  <c r="G115" i="5"/>
  <c r="I115" i="5" s="1"/>
  <c r="K115" i="5" s="1"/>
  <c r="M115" i="5" s="1"/>
  <c r="O115" i="5" s="1"/>
  <c r="I116" i="5"/>
  <c r="K116" i="5" s="1"/>
  <c r="M116" i="5" s="1"/>
  <c r="O116" i="5" s="1"/>
  <c r="G88" i="5"/>
  <c r="I89" i="5"/>
  <c r="K89" i="5" s="1"/>
  <c r="M89" i="5" s="1"/>
  <c r="O89" i="5" s="1"/>
  <c r="G103" i="5"/>
  <c r="I103" i="5" s="1"/>
  <c r="K103" i="5" s="1"/>
  <c r="M103" i="5" s="1"/>
  <c r="O103" i="5" s="1"/>
  <c r="G145" i="5"/>
  <c r="I145" i="5" s="1"/>
  <c r="K145" i="5" s="1"/>
  <c r="M145" i="5" s="1"/>
  <c r="O145" i="5" s="1"/>
  <c r="G147" i="5"/>
  <c r="I147" i="5" s="1"/>
  <c r="K147" i="5" s="1"/>
  <c r="M147" i="5" s="1"/>
  <c r="O147" i="5" s="1"/>
  <c r="A149" i="5"/>
  <c r="A148" i="5"/>
  <c r="A150" i="5"/>
  <c r="G114" i="5" l="1"/>
  <c r="I114" i="5" s="1"/>
  <c r="K114" i="5" s="1"/>
  <c r="M114" i="5" s="1"/>
  <c r="O114" i="5" s="1"/>
  <c r="G84" i="5"/>
  <c r="I84" i="5" s="1"/>
  <c r="K84" i="5" s="1"/>
  <c r="M84" i="5" s="1"/>
  <c r="O84" i="5" s="1"/>
  <c r="I88" i="5"/>
  <c r="K88" i="5" s="1"/>
  <c r="M88" i="5" s="1"/>
  <c r="O88" i="5" s="1"/>
  <c r="G124" i="5"/>
  <c r="I124" i="5" s="1"/>
  <c r="K124" i="5" s="1"/>
  <c r="M124" i="5" s="1"/>
  <c r="O124" i="5" s="1"/>
  <c r="I125" i="5"/>
  <c r="K125" i="5" s="1"/>
  <c r="M125" i="5" s="1"/>
  <c r="O125" i="5" s="1"/>
  <c r="G134" i="5"/>
  <c r="G91" i="5"/>
  <c r="I91" i="5" s="1"/>
  <c r="K91" i="5" s="1"/>
  <c r="M91" i="5" s="1"/>
  <c r="O91" i="5" s="1"/>
  <c r="I92" i="5"/>
  <c r="K92" i="5" s="1"/>
  <c r="M92" i="5" s="1"/>
  <c r="O92" i="5" s="1"/>
  <c r="G150" i="5"/>
  <c r="I150" i="5" s="1"/>
  <c r="K150" i="5" s="1"/>
  <c r="M150" i="5" s="1"/>
  <c r="O150" i="5" s="1"/>
  <c r="A152" i="5"/>
  <c r="A151" i="5"/>
  <c r="G113" i="5" l="1"/>
  <c r="I113" i="5" s="1"/>
  <c r="K113" i="5" s="1"/>
  <c r="M113" i="5" s="1"/>
  <c r="O113" i="5" s="1"/>
  <c r="G128" i="5"/>
  <c r="I128" i="5" s="1"/>
  <c r="K128" i="5" s="1"/>
  <c r="M128" i="5" s="1"/>
  <c r="O128" i="5" s="1"/>
  <c r="I134" i="5"/>
  <c r="K134" i="5" s="1"/>
  <c r="M134" i="5" s="1"/>
  <c r="O134" i="5" s="1"/>
  <c r="G75" i="5"/>
  <c r="G149" i="5"/>
  <c r="G152" i="5"/>
  <c r="A154" i="5"/>
  <c r="A153" i="5"/>
  <c r="A156" i="5"/>
  <c r="A155" i="5"/>
  <c r="G151" i="5" l="1"/>
  <c r="I151" i="5" s="1"/>
  <c r="K151" i="5" s="1"/>
  <c r="M151" i="5" s="1"/>
  <c r="O151" i="5" s="1"/>
  <c r="I152" i="5"/>
  <c r="K152" i="5" s="1"/>
  <c r="M152" i="5" s="1"/>
  <c r="O152" i="5" s="1"/>
  <c r="I75" i="5"/>
  <c r="K75" i="5" s="1"/>
  <c r="M75" i="5" s="1"/>
  <c r="O75" i="5" s="1"/>
  <c r="G44" i="5"/>
  <c r="G144" i="5"/>
  <c r="I144" i="5" s="1"/>
  <c r="K144" i="5" s="1"/>
  <c r="M144" i="5" s="1"/>
  <c r="O144" i="5" s="1"/>
  <c r="I149" i="5"/>
  <c r="K149" i="5" s="1"/>
  <c r="M149" i="5" s="1"/>
  <c r="O149" i="5" s="1"/>
  <c r="G156" i="5"/>
  <c r="G159" i="5"/>
  <c r="G162" i="5"/>
  <c r="G166" i="5"/>
  <c r="G170" i="5"/>
  <c r="I170" i="5" s="1"/>
  <c r="K170" i="5" s="1"/>
  <c r="M170" i="5" s="1"/>
  <c r="O170" i="5" s="1"/>
  <c r="A160" i="5"/>
  <c r="A161" i="5"/>
  <c r="A159" i="5"/>
  <c r="A157" i="5"/>
  <c r="A166" i="5"/>
  <c r="A162" i="5"/>
  <c r="A163" i="5"/>
  <c r="A171" i="5"/>
  <c r="A164" i="5"/>
  <c r="A167" i="5"/>
  <c r="A168" i="5"/>
  <c r="A170" i="5"/>
  <c r="A165" i="5"/>
  <c r="A169" i="5"/>
  <c r="A158" i="5"/>
  <c r="G155" i="5" l="1"/>
  <c r="I155" i="5" s="1"/>
  <c r="K155" i="5" s="1"/>
  <c r="M155" i="5" s="1"/>
  <c r="O155" i="5" s="1"/>
  <c r="I156" i="5"/>
  <c r="K156" i="5" s="1"/>
  <c r="M156" i="5" s="1"/>
  <c r="O156" i="5" s="1"/>
  <c r="G161" i="5"/>
  <c r="I161" i="5" s="1"/>
  <c r="K161" i="5" s="1"/>
  <c r="M161" i="5" s="1"/>
  <c r="O161" i="5" s="1"/>
  <c r="I162" i="5"/>
  <c r="K162" i="5" s="1"/>
  <c r="M162" i="5" s="1"/>
  <c r="O162" i="5" s="1"/>
  <c r="G158" i="5"/>
  <c r="I158" i="5" s="1"/>
  <c r="K158" i="5" s="1"/>
  <c r="M158" i="5" s="1"/>
  <c r="O158" i="5" s="1"/>
  <c r="I159" i="5"/>
  <c r="K159" i="5" s="1"/>
  <c r="M159" i="5" s="1"/>
  <c r="O159" i="5" s="1"/>
  <c r="G19" i="5"/>
  <c r="I19" i="5" s="1"/>
  <c r="K19" i="5" s="1"/>
  <c r="M19" i="5" s="1"/>
  <c r="O19" i="5" s="1"/>
  <c r="I44" i="5"/>
  <c r="K44" i="5" s="1"/>
  <c r="M44" i="5" s="1"/>
  <c r="O44" i="5" s="1"/>
  <c r="G165" i="5"/>
  <c r="I165" i="5" s="1"/>
  <c r="K165" i="5" s="1"/>
  <c r="M165" i="5" s="1"/>
  <c r="O165" i="5" s="1"/>
  <c r="I166" i="5"/>
  <c r="K166" i="5" s="1"/>
  <c r="M166" i="5" s="1"/>
  <c r="O166" i="5" s="1"/>
  <c r="G169" i="5"/>
  <c r="I169" i="5" s="1"/>
  <c r="K169" i="5" s="1"/>
  <c r="M169" i="5" s="1"/>
  <c r="O169" i="5" s="1"/>
  <c r="G171" i="5"/>
  <c r="I171" i="5" s="1"/>
  <c r="K171" i="5" s="1"/>
  <c r="M171" i="5" s="1"/>
  <c r="O171" i="5" s="1"/>
  <c r="G175" i="5"/>
  <c r="G181" i="5"/>
  <c r="I181" i="5" s="1"/>
  <c r="K181" i="5" s="1"/>
  <c r="M181" i="5" s="1"/>
  <c r="O181" i="5" s="1"/>
  <c r="A178" i="5"/>
  <c r="A181" i="5"/>
  <c r="A177" i="5"/>
  <c r="A176" i="5"/>
  <c r="A172" i="5"/>
  <c r="A179" i="5"/>
  <c r="A180" i="5"/>
  <c r="A175" i="5"/>
  <c r="A173" i="5"/>
  <c r="A182" i="5"/>
  <c r="G154" i="5" l="1"/>
  <c r="I154" i="5" s="1"/>
  <c r="K154" i="5" s="1"/>
  <c r="M154" i="5" s="1"/>
  <c r="O154" i="5" s="1"/>
  <c r="G174" i="5"/>
  <c r="I175" i="5"/>
  <c r="K175" i="5" s="1"/>
  <c r="M175" i="5" s="1"/>
  <c r="O175" i="5" s="1"/>
  <c r="G168" i="5"/>
  <c r="G180" i="5"/>
  <c r="I180" i="5" s="1"/>
  <c r="K180" i="5" s="1"/>
  <c r="M180" i="5" s="1"/>
  <c r="O180" i="5" s="1"/>
  <c r="G182" i="5"/>
  <c r="I182" i="5" s="1"/>
  <c r="K182" i="5" s="1"/>
  <c r="M182" i="5" s="1"/>
  <c r="O182" i="5" s="1"/>
  <c r="A184" i="5"/>
  <c r="A183" i="5"/>
  <c r="G164" i="5" l="1"/>
  <c r="I168" i="5"/>
  <c r="K168" i="5" s="1"/>
  <c r="M168" i="5" s="1"/>
  <c r="O168" i="5" s="1"/>
  <c r="G173" i="5"/>
  <c r="I173" i="5" s="1"/>
  <c r="K173" i="5" s="1"/>
  <c r="M173" i="5" s="1"/>
  <c r="O173" i="5" s="1"/>
  <c r="I174" i="5"/>
  <c r="K174" i="5" s="1"/>
  <c r="M174" i="5" s="1"/>
  <c r="O174" i="5" s="1"/>
  <c r="G184" i="5"/>
  <c r="A186" i="5"/>
  <c r="A191" i="5"/>
  <c r="A190" i="5"/>
  <c r="A189" i="5"/>
  <c r="A192" i="5"/>
  <c r="A185" i="5"/>
  <c r="A188" i="5"/>
  <c r="G179" i="5" l="1"/>
  <c r="I184" i="5"/>
  <c r="K184" i="5" s="1"/>
  <c r="M184" i="5" s="1"/>
  <c r="O184" i="5" s="1"/>
  <c r="G143" i="5"/>
  <c r="I143" i="5" s="1"/>
  <c r="K143" i="5" s="1"/>
  <c r="M143" i="5" s="1"/>
  <c r="O143" i="5" s="1"/>
  <c r="I164" i="5"/>
  <c r="K164" i="5" s="1"/>
  <c r="M164" i="5" s="1"/>
  <c r="O164" i="5" s="1"/>
  <c r="G190" i="5"/>
  <c r="I190" i="5" s="1"/>
  <c r="K190" i="5" s="1"/>
  <c r="M190" i="5" s="1"/>
  <c r="O190" i="5" s="1"/>
  <c r="G192" i="5"/>
  <c r="I192" i="5" s="1"/>
  <c r="K192" i="5" s="1"/>
  <c r="M192" i="5" s="1"/>
  <c r="O192" i="5" s="1"/>
  <c r="A196" i="5"/>
  <c r="A197" i="5"/>
  <c r="A193" i="5"/>
  <c r="A195" i="5"/>
  <c r="G178" i="5" l="1"/>
  <c r="I179" i="5"/>
  <c r="K179" i="5" s="1"/>
  <c r="M179" i="5" s="1"/>
  <c r="O179" i="5" s="1"/>
  <c r="G189" i="5"/>
  <c r="G197" i="5"/>
  <c r="A199" i="5"/>
  <c r="A200" i="5"/>
  <c r="A198" i="5"/>
  <c r="A201" i="5"/>
  <c r="A202" i="5"/>
  <c r="G196" i="5" l="1"/>
  <c r="I196" i="5" s="1"/>
  <c r="K196" i="5" s="1"/>
  <c r="M196" i="5" s="1"/>
  <c r="O196" i="5" s="1"/>
  <c r="I197" i="5"/>
  <c r="K197" i="5" s="1"/>
  <c r="M197" i="5" s="1"/>
  <c r="O197" i="5" s="1"/>
  <c r="G177" i="5"/>
  <c r="I178" i="5"/>
  <c r="K178" i="5" s="1"/>
  <c r="M178" i="5" s="1"/>
  <c r="O178" i="5" s="1"/>
  <c r="G188" i="5"/>
  <c r="I189" i="5"/>
  <c r="K189" i="5" s="1"/>
  <c r="M189" i="5" s="1"/>
  <c r="O189" i="5" s="1"/>
  <c r="G202" i="5"/>
  <c r="I202" i="5" s="1"/>
  <c r="K202" i="5" s="1"/>
  <c r="M202" i="5" s="1"/>
  <c r="O202" i="5" s="1"/>
  <c r="A204" i="5"/>
  <c r="A203" i="5"/>
  <c r="G142" i="5" l="1"/>
  <c r="I177" i="5"/>
  <c r="K177" i="5" s="1"/>
  <c r="M177" i="5" s="1"/>
  <c r="O177" i="5" s="1"/>
  <c r="G187" i="5"/>
  <c r="I187" i="5" s="1"/>
  <c r="K187" i="5" s="1"/>
  <c r="M187" i="5" s="1"/>
  <c r="O187" i="5" s="1"/>
  <c r="I188" i="5"/>
  <c r="K188" i="5" s="1"/>
  <c r="M188" i="5" s="1"/>
  <c r="O188" i="5" s="1"/>
  <c r="G201" i="5"/>
  <c r="G204" i="5"/>
  <c r="G208" i="5"/>
  <c r="G214" i="5"/>
  <c r="G217" i="5"/>
  <c r="G222" i="5"/>
  <c r="A205" i="5"/>
  <c r="A210" i="5"/>
  <c r="A226" i="5"/>
  <c r="A214" i="5"/>
  <c r="A222" i="5"/>
  <c r="A219" i="5"/>
  <c r="A221" i="5"/>
  <c r="A207" i="5"/>
  <c r="A209" i="5"/>
  <c r="A223" i="5"/>
  <c r="A216" i="5"/>
  <c r="A225" i="5"/>
  <c r="A217" i="5"/>
  <c r="A208" i="5"/>
  <c r="A213" i="5"/>
  <c r="A215" i="5"/>
  <c r="A220" i="5"/>
  <c r="A211" i="5"/>
  <c r="A227" i="5"/>
  <c r="A224" i="5"/>
  <c r="A206" i="5"/>
  <c r="A218" i="5"/>
  <c r="A212" i="5"/>
  <c r="G216" i="5" l="1"/>
  <c r="I216" i="5" s="1"/>
  <c r="K216" i="5" s="1"/>
  <c r="M216" i="5" s="1"/>
  <c r="O216" i="5" s="1"/>
  <c r="I217" i="5"/>
  <c r="K217" i="5" s="1"/>
  <c r="M217" i="5" s="1"/>
  <c r="O217" i="5" s="1"/>
  <c r="I142" i="5"/>
  <c r="K142" i="5" s="1"/>
  <c r="M142" i="5" s="1"/>
  <c r="O142" i="5" s="1"/>
  <c r="G141" i="5"/>
  <c r="I141" i="5" s="1"/>
  <c r="K141" i="5" s="1"/>
  <c r="M141" i="5" s="1"/>
  <c r="O141" i="5" s="1"/>
  <c r="G213" i="5"/>
  <c r="I213" i="5" s="1"/>
  <c r="K213" i="5" s="1"/>
  <c r="M213" i="5" s="1"/>
  <c r="O213" i="5" s="1"/>
  <c r="I214" i="5"/>
  <c r="K214" i="5" s="1"/>
  <c r="M214" i="5" s="1"/>
  <c r="O214" i="5" s="1"/>
  <c r="G207" i="5"/>
  <c r="I208" i="5"/>
  <c r="K208" i="5" s="1"/>
  <c r="M208" i="5" s="1"/>
  <c r="O208" i="5" s="1"/>
  <c r="G200" i="5"/>
  <c r="I200" i="5" s="1"/>
  <c r="K200" i="5" s="1"/>
  <c r="M200" i="5" s="1"/>
  <c r="O200" i="5" s="1"/>
  <c r="I201" i="5"/>
  <c r="K201" i="5" s="1"/>
  <c r="M201" i="5" s="1"/>
  <c r="O201" i="5" s="1"/>
  <c r="G221" i="5"/>
  <c r="I222" i="5"/>
  <c r="K222" i="5" s="1"/>
  <c r="M222" i="5" s="1"/>
  <c r="O222" i="5" s="1"/>
  <c r="G203" i="5"/>
  <c r="I203" i="5" s="1"/>
  <c r="K203" i="5" s="1"/>
  <c r="M203" i="5" s="1"/>
  <c r="O203" i="5" s="1"/>
  <c r="I204" i="5"/>
  <c r="K204" i="5" s="1"/>
  <c r="M204" i="5" s="1"/>
  <c r="O204" i="5" s="1"/>
  <c r="G227" i="5"/>
  <c r="I227" i="5" s="1"/>
  <c r="K227" i="5" s="1"/>
  <c r="M227" i="5" s="1"/>
  <c r="O227" i="5" s="1"/>
  <c r="A229" i="5"/>
  <c r="A231" i="5"/>
  <c r="A230" i="5"/>
  <c r="G212" i="5" l="1"/>
  <c r="G211" i="5" s="1"/>
  <c r="G199" i="5"/>
  <c r="G220" i="5"/>
  <c r="I220" i="5" s="1"/>
  <c r="K220" i="5" s="1"/>
  <c r="M220" i="5" s="1"/>
  <c r="O220" i="5" s="1"/>
  <c r="I221" i="5"/>
  <c r="K221" i="5" s="1"/>
  <c r="M221" i="5" s="1"/>
  <c r="O221" i="5" s="1"/>
  <c r="G206" i="5"/>
  <c r="I206" i="5" s="1"/>
  <c r="K206" i="5" s="1"/>
  <c r="M206" i="5" s="1"/>
  <c r="O206" i="5" s="1"/>
  <c r="I207" i="5"/>
  <c r="K207" i="5" s="1"/>
  <c r="M207" i="5" s="1"/>
  <c r="O207" i="5" s="1"/>
  <c r="G226" i="5"/>
  <c r="G231" i="5"/>
  <c r="A235" i="5"/>
  <c r="A234" i="5"/>
  <c r="A232" i="5"/>
  <c r="A233" i="5"/>
  <c r="I212" i="5" l="1"/>
  <c r="K212" i="5" s="1"/>
  <c r="M212" i="5" s="1"/>
  <c r="O212" i="5" s="1"/>
  <c r="G225" i="5"/>
  <c r="I226" i="5"/>
  <c r="K226" i="5" s="1"/>
  <c r="M226" i="5" s="1"/>
  <c r="O226" i="5" s="1"/>
  <c r="G230" i="5"/>
  <c r="I230" i="5" s="1"/>
  <c r="K230" i="5" s="1"/>
  <c r="M230" i="5" s="1"/>
  <c r="O230" i="5" s="1"/>
  <c r="I231" i="5"/>
  <c r="K231" i="5" s="1"/>
  <c r="M231" i="5" s="1"/>
  <c r="O231" i="5" s="1"/>
  <c r="G195" i="5"/>
  <c r="I195" i="5" s="1"/>
  <c r="K195" i="5" s="1"/>
  <c r="M195" i="5" s="1"/>
  <c r="O195" i="5" s="1"/>
  <c r="I199" i="5"/>
  <c r="K199" i="5" s="1"/>
  <c r="M199" i="5" s="1"/>
  <c r="O199" i="5" s="1"/>
  <c r="G210" i="5"/>
  <c r="I210" i="5" s="1"/>
  <c r="K210" i="5" s="1"/>
  <c r="M210" i="5" s="1"/>
  <c r="O210" i="5" s="1"/>
  <c r="I211" i="5"/>
  <c r="K211" i="5" s="1"/>
  <c r="M211" i="5" s="1"/>
  <c r="O211" i="5" s="1"/>
  <c r="G235" i="5"/>
  <c r="G238" i="5"/>
  <c r="G244" i="5"/>
  <c r="G247" i="5"/>
  <c r="G251" i="5"/>
  <c r="G254" i="5"/>
  <c r="G257" i="5"/>
  <c r="A246" i="5"/>
  <c r="A248" i="5"/>
  <c r="A258" i="5"/>
  <c r="A245" i="5"/>
  <c r="A238" i="5"/>
  <c r="A249" i="5"/>
  <c r="A257" i="5"/>
  <c r="A253" i="5"/>
  <c r="A254" i="5"/>
  <c r="A252" i="5"/>
  <c r="A239" i="5"/>
  <c r="A243" i="5"/>
  <c r="A267" i="5"/>
  <c r="A244" i="5"/>
  <c r="A255" i="5"/>
  <c r="A236" i="5"/>
  <c r="A237" i="5"/>
  <c r="A250" i="5"/>
  <c r="A247" i="5"/>
  <c r="A251" i="5"/>
  <c r="A256" i="5"/>
  <c r="G246" i="5" l="1"/>
  <c r="I246" i="5" s="1"/>
  <c r="K246" i="5" s="1"/>
  <c r="M246" i="5" s="1"/>
  <c r="O246" i="5" s="1"/>
  <c r="I247" i="5"/>
  <c r="K247" i="5" s="1"/>
  <c r="M247" i="5" s="1"/>
  <c r="O247" i="5" s="1"/>
  <c r="G256" i="5"/>
  <c r="I256" i="5" s="1"/>
  <c r="K256" i="5" s="1"/>
  <c r="M256" i="5" s="1"/>
  <c r="O256" i="5" s="1"/>
  <c r="I257" i="5"/>
  <c r="K257" i="5" s="1"/>
  <c r="M257" i="5" s="1"/>
  <c r="O257" i="5" s="1"/>
  <c r="G243" i="5"/>
  <c r="I243" i="5" s="1"/>
  <c r="K243" i="5" s="1"/>
  <c r="M243" i="5" s="1"/>
  <c r="O243" i="5" s="1"/>
  <c r="I244" i="5"/>
  <c r="K244" i="5" s="1"/>
  <c r="M244" i="5" s="1"/>
  <c r="O244" i="5" s="1"/>
  <c r="G253" i="5"/>
  <c r="I253" i="5" s="1"/>
  <c r="K253" i="5" s="1"/>
  <c r="M253" i="5" s="1"/>
  <c r="O253" i="5" s="1"/>
  <c r="I254" i="5"/>
  <c r="K254" i="5" s="1"/>
  <c r="M254" i="5" s="1"/>
  <c r="O254" i="5" s="1"/>
  <c r="G250" i="5"/>
  <c r="I250" i="5" s="1"/>
  <c r="K250" i="5" s="1"/>
  <c r="M250" i="5" s="1"/>
  <c r="O250" i="5" s="1"/>
  <c r="I251" i="5"/>
  <c r="K251" i="5" s="1"/>
  <c r="M251" i="5" s="1"/>
  <c r="O251" i="5" s="1"/>
  <c r="G224" i="5"/>
  <c r="I225" i="5"/>
  <c r="K225" i="5" s="1"/>
  <c r="M225" i="5" s="1"/>
  <c r="O225" i="5" s="1"/>
  <c r="G234" i="5"/>
  <c r="I234" i="5" s="1"/>
  <c r="K234" i="5" s="1"/>
  <c r="M234" i="5" s="1"/>
  <c r="O234" i="5" s="1"/>
  <c r="I235" i="5"/>
  <c r="K235" i="5" s="1"/>
  <c r="M235" i="5" s="1"/>
  <c r="O235" i="5" s="1"/>
  <c r="G237" i="5"/>
  <c r="I237" i="5" s="1"/>
  <c r="K237" i="5" s="1"/>
  <c r="M237" i="5" s="1"/>
  <c r="O237" i="5" s="1"/>
  <c r="I238" i="5"/>
  <c r="K238" i="5" s="1"/>
  <c r="M238" i="5" s="1"/>
  <c r="O238" i="5" s="1"/>
  <c r="G273" i="5"/>
  <c r="I273" i="5" s="1"/>
  <c r="K273" i="5" s="1"/>
  <c r="M273" i="5" s="1"/>
  <c r="O273" i="5" s="1"/>
  <c r="A269" i="5"/>
  <c r="A270" i="5"/>
  <c r="A272" i="5"/>
  <c r="A273" i="5"/>
  <c r="A271" i="5"/>
  <c r="A274" i="5"/>
  <c r="G219" i="5" l="1"/>
  <c r="I224" i="5"/>
  <c r="K224" i="5" s="1"/>
  <c r="M224" i="5" s="1"/>
  <c r="O224" i="5" s="1"/>
  <c r="G249" i="5"/>
  <c r="I249" i="5" s="1"/>
  <c r="K249" i="5" s="1"/>
  <c r="M249" i="5" s="1"/>
  <c r="O249" i="5" s="1"/>
  <c r="G233" i="5"/>
  <c r="I233" i="5" s="1"/>
  <c r="K233" i="5" s="1"/>
  <c r="M233" i="5" s="1"/>
  <c r="O233" i="5" s="1"/>
  <c r="G272" i="5"/>
  <c r="I272" i="5" s="1"/>
  <c r="K272" i="5" s="1"/>
  <c r="M272" i="5" s="1"/>
  <c r="O272" i="5" s="1"/>
  <c r="G274" i="5"/>
  <c r="I274" i="5" s="1"/>
  <c r="K274" i="5" s="1"/>
  <c r="M274" i="5" s="1"/>
  <c r="O274" i="5" s="1"/>
  <c r="G286" i="5"/>
  <c r="G290" i="5"/>
  <c r="G294" i="5"/>
  <c r="G298" i="5"/>
  <c r="G302" i="5"/>
  <c r="G305" i="5"/>
  <c r="G309" i="5"/>
  <c r="G315" i="5"/>
  <c r="I315" i="5" s="1"/>
  <c r="K315" i="5" s="1"/>
  <c r="M315" i="5" s="1"/>
  <c r="O315" i="5" s="1"/>
  <c r="A295" i="5"/>
  <c r="A311" i="5"/>
  <c r="A307" i="5"/>
  <c r="A302" i="5"/>
  <c r="A316" i="5"/>
  <c r="A288" i="5"/>
  <c r="A300" i="5"/>
  <c r="A317" i="5"/>
  <c r="A294" i="5"/>
  <c r="A310" i="5"/>
  <c r="A298" i="5"/>
  <c r="A284" i="5"/>
  <c r="A299" i="5"/>
  <c r="A305" i="5"/>
  <c r="A306" i="5"/>
  <c r="A314" i="5"/>
  <c r="A312" i="5"/>
  <c r="A286" i="5"/>
  <c r="A281" i="5"/>
  <c r="A301" i="5"/>
  <c r="A296" i="5"/>
  <c r="A283" i="5"/>
  <c r="A287" i="5"/>
  <c r="A291" i="5"/>
  <c r="A309" i="5"/>
  <c r="A313" i="5"/>
  <c r="A315" i="5"/>
  <c r="A285" i="5"/>
  <c r="A308" i="5"/>
  <c r="A289" i="5"/>
  <c r="A303" i="5"/>
  <c r="A290" i="5"/>
  <c r="A275" i="5"/>
  <c r="A292" i="5"/>
  <c r="A293" i="5"/>
  <c r="A318" i="5"/>
  <c r="A304" i="5"/>
  <c r="A297" i="5"/>
  <c r="G229" i="5" l="1"/>
  <c r="I229" i="5" s="1"/>
  <c r="K229" i="5" s="1"/>
  <c r="M229" i="5" s="1"/>
  <c r="O229" i="5" s="1"/>
  <c r="G293" i="5"/>
  <c r="I294" i="5"/>
  <c r="K294" i="5" s="1"/>
  <c r="M294" i="5" s="1"/>
  <c r="O294" i="5" s="1"/>
  <c r="G301" i="5"/>
  <c r="I301" i="5" s="1"/>
  <c r="K301" i="5" s="1"/>
  <c r="M301" i="5" s="1"/>
  <c r="O301" i="5" s="1"/>
  <c r="I302" i="5"/>
  <c r="K302" i="5" s="1"/>
  <c r="M302" i="5" s="1"/>
  <c r="O302" i="5" s="1"/>
  <c r="G285" i="5"/>
  <c r="I286" i="5"/>
  <c r="K286" i="5" s="1"/>
  <c r="M286" i="5" s="1"/>
  <c r="O286" i="5" s="1"/>
  <c r="G194" i="5"/>
  <c r="I194" i="5" s="1"/>
  <c r="K194" i="5" s="1"/>
  <c r="M194" i="5" s="1"/>
  <c r="O194" i="5" s="1"/>
  <c r="I219" i="5"/>
  <c r="K219" i="5" s="1"/>
  <c r="M219" i="5" s="1"/>
  <c r="O219" i="5" s="1"/>
  <c r="G297" i="5"/>
  <c r="I298" i="5"/>
  <c r="K298" i="5" s="1"/>
  <c r="M298" i="5" s="1"/>
  <c r="O298" i="5" s="1"/>
  <c r="G304" i="5"/>
  <c r="I304" i="5" s="1"/>
  <c r="K304" i="5" s="1"/>
  <c r="M304" i="5" s="1"/>
  <c r="O304" i="5" s="1"/>
  <c r="I305" i="5"/>
  <c r="K305" i="5" s="1"/>
  <c r="M305" i="5" s="1"/>
  <c r="O305" i="5" s="1"/>
  <c r="G289" i="5"/>
  <c r="I290" i="5"/>
  <c r="K290" i="5" s="1"/>
  <c r="M290" i="5" s="1"/>
  <c r="O290" i="5" s="1"/>
  <c r="G308" i="5"/>
  <c r="I309" i="5"/>
  <c r="K309" i="5" s="1"/>
  <c r="M309" i="5" s="1"/>
  <c r="O309" i="5" s="1"/>
  <c r="G271" i="5"/>
  <c r="I271" i="5" s="1"/>
  <c r="K271" i="5" s="1"/>
  <c r="M271" i="5" s="1"/>
  <c r="O271" i="5" s="1"/>
  <c r="G314" i="5"/>
  <c r="G318" i="5"/>
  <c r="G327" i="5"/>
  <c r="G332" i="5"/>
  <c r="G337" i="5"/>
  <c r="A328" i="5"/>
  <c r="A331" i="5"/>
  <c r="A326" i="5"/>
  <c r="A325" i="5"/>
  <c r="A336" i="5"/>
  <c r="A330" i="5"/>
  <c r="A329" i="5"/>
  <c r="A337" i="5"/>
  <c r="A327" i="5"/>
  <c r="A320" i="5"/>
  <c r="A339" i="5"/>
  <c r="A338" i="5"/>
  <c r="A335" i="5"/>
  <c r="A342" i="5"/>
  <c r="A323" i="5"/>
  <c r="A319" i="5"/>
  <c r="A332" i="5"/>
  <c r="A340" i="5"/>
  <c r="A321" i="5"/>
  <c r="A333" i="5"/>
  <c r="A324" i="5"/>
  <c r="A341" i="5"/>
  <c r="G228" i="5" l="1"/>
  <c r="I228" i="5" s="1"/>
  <c r="K228" i="5" s="1"/>
  <c r="M228" i="5" s="1"/>
  <c r="O228" i="5" s="1"/>
  <c r="G317" i="5"/>
  <c r="I318" i="5"/>
  <c r="K318" i="5" s="1"/>
  <c r="M318" i="5" s="1"/>
  <c r="O318" i="5" s="1"/>
  <c r="G331" i="5"/>
  <c r="I332" i="5"/>
  <c r="K332" i="5" s="1"/>
  <c r="M332" i="5" s="1"/>
  <c r="O332" i="5" s="1"/>
  <c r="G336" i="5"/>
  <c r="I336" i="5" s="1"/>
  <c r="K336" i="5" s="1"/>
  <c r="M336" i="5" s="1"/>
  <c r="O336" i="5" s="1"/>
  <c r="I337" i="5"/>
  <c r="K337" i="5" s="1"/>
  <c r="M337" i="5" s="1"/>
  <c r="O337" i="5" s="1"/>
  <c r="G313" i="5"/>
  <c r="I314" i="5"/>
  <c r="K314" i="5" s="1"/>
  <c r="M314" i="5" s="1"/>
  <c r="O314" i="5" s="1"/>
  <c r="G326" i="5"/>
  <c r="I327" i="5"/>
  <c r="K327" i="5" s="1"/>
  <c r="M327" i="5" s="1"/>
  <c r="O327" i="5" s="1"/>
  <c r="G288" i="5"/>
  <c r="I288" i="5" s="1"/>
  <c r="K288" i="5" s="1"/>
  <c r="M288" i="5" s="1"/>
  <c r="O288" i="5" s="1"/>
  <c r="I289" i="5"/>
  <c r="K289" i="5" s="1"/>
  <c r="M289" i="5" s="1"/>
  <c r="O289" i="5" s="1"/>
  <c r="G296" i="5"/>
  <c r="I296" i="5" s="1"/>
  <c r="K296" i="5" s="1"/>
  <c r="M296" i="5" s="1"/>
  <c r="O296" i="5" s="1"/>
  <c r="I297" i="5"/>
  <c r="K297" i="5" s="1"/>
  <c r="M297" i="5" s="1"/>
  <c r="O297" i="5" s="1"/>
  <c r="G284" i="5"/>
  <c r="I285" i="5"/>
  <c r="K285" i="5" s="1"/>
  <c r="M285" i="5" s="1"/>
  <c r="O285" i="5" s="1"/>
  <c r="G292" i="5"/>
  <c r="I292" i="5" s="1"/>
  <c r="K292" i="5" s="1"/>
  <c r="M292" i="5" s="1"/>
  <c r="O292" i="5" s="1"/>
  <c r="I293" i="5"/>
  <c r="K293" i="5" s="1"/>
  <c r="M293" i="5" s="1"/>
  <c r="O293" i="5" s="1"/>
  <c r="G307" i="5"/>
  <c r="I308" i="5"/>
  <c r="K308" i="5" s="1"/>
  <c r="M308" i="5" s="1"/>
  <c r="O308" i="5" s="1"/>
  <c r="G270" i="5"/>
  <c r="G340" i="5"/>
  <c r="I340" i="5" s="1"/>
  <c r="K340" i="5" s="1"/>
  <c r="M340" i="5" s="1"/>
  <c r="O340" i="5" s="1"/>
  <c r="G342" i="5"/>
  <c r="I342" i="5" s="1"/>
  <c r="K342" i="5" s="1"/>
  <c r="M342" i="5" s="1"/>
  <c r="O342" i="5" s="1"/>
  <c r="A344" i="5"/>
  <c r="A343" i="5"/>
  <c r="G186" i="5" l="1"/>
  <c r="I186" i="5" s="1"/>
  <c r="K186" i="5" s="1"/>
  <c r="M186" i="5" s="1"/>
  <c r="O186" i="5" s="1"/>
  <c r="G269" i="5"/>
  <c r="I270" i="5"/>
  <c r="K270" i="5" s="1"/>
  <c r="M270" i="5" s="1"/>
  <c r="O270" i="5" s="1"/>
  <c r="G325" i="5"/>
  <c r="I325" i="5" s="1"/>
  <c r="K325" i="5" s="1"/>
  <c r="M325" i="5" s="1"/>
  <c r="O325" i="5" s="1"/>
  <c r="I326" i="5"/>
  <c r="K326" i="5" s="1"/>
  <c r="M326" i="5" s="1"/>
  <c r="O326" i="5" s="1"/>
  <c r="G316" i="5"/>
  <c r="I316" i="5" s="1"/>
  <c r="K316" i="5" s="1"/>
  <c r="M316" i="5" s="1"/>
  <c r="O316" i="5" s="1"/>
  <c r="I317" i="5"/>
  <c r="K317" i="5" s="1"/>
  <c r="M317" i="5" s="1"/>
  <c r="O317" i="5" s="1"/>
  <c r="G283" i="5"/>
  <c r="I283" i="5" s="1"/>
  <c r="K283" i="5" s="1"/>
  <c r="M283" i="5" s="1"/>
  <c r="O283" i="5" s="1"/>
  <c r="I284" i="5"/>
  <c r="K284" i="5" s="1"/>
  <c r="M284" i="5" s="1"/>
  <c r="O284" i="5" s="1"/>
  <c r="G312" i="5"/>
  <c r="I313" i="5"/>
  <c r="K313" i="5" s="1"/>
  <c r="M313" i="5" s="1"/>
  <c r="O313" i="5" s="1"/>
  <c r="G330" i="5"/>
  <c r="I331" i="5"/>
  <c r="K331" i="5" s="1"/>
  <c r="M331" i="5" s="1"/>
  <c r="O331" i="5" s="1"/>
  <c r="I307" i="5"/>
  <c r="K307" i="5" s="1"/>
  <c r="M307" i="5" s="1"/>
  <c r="O307" i="5" s="1"/>
  <c r="G300" i="5"/>
  <c r="I300" i="5" s="1"/>
  <c r="K300" i="5" s="1"/>
  <c r="M300" i="5" s="1"/>
  <c r="O300" i="5" s="1"/>
  <c r="G344" i="5"/>
  <c r="G349" i="5"/>
  <c r="G352" i="5"/>
  <c r="G355" i="5"/>
  <c r="G362" i="5"/>
  <c r="G371" i="5"/>
  <c r="G376" i="5"/>
  <c r="G381" i="5"/>
  <c r="G386" i="5"/>
  <c r="G389" i="5"/>
  <c r="I389" i="5" s="1"/>
  <c r="K389" i="5" s="1"/>
  <c r="M389" i="5" s="1"/>
  <c r="O389" i="5" s="1"/>
  <c r="G392" i="5"/>
  <c r="I392" i="5" s="1"/>
  <c r="K392" i="5" s="1"/>
  <c r="M392" i="5" s="1"/>
  <c r="O392" i="5" s="1"/>
  <c r="A381" i="5"/>
  <c r="A345" i="5"/>
  <c r="A389" i="5"/>
  <c r="A350" i="5"/>
  <c r="A368" i="5"/>
  <c r="A360" i="5"/>
  <c r="A369" i="5"/>
  <c r="A355" i="5"/>
  <c r="A370" i="5"/>
  <c r="A349" i="5"/>
  <c r="A394" i="5"/>
  <c r="A372" i="5"/>
  <c r="A392" i="5"/>
  <c r="A385" i="5"/>
  <c r="A371" i="5"/>
  <c r="A375" i="5"/>
  <c r="A384" i="5"/>
  <c r="A357" i="5"/>
  <c r="A367" i="5"/>
  <c r="A379" i="5"/>
  <c r="A362" i="5"/>
  <c r="A380" i="5"/>
  <c r="A346" i="5"/>
  <c r="A361" i="5"/>
  <c r="A386" i="5"/>
  <c r="A387" i="5"/>
  <c r="A347" i="5"/>
  <c r="A382" i="5"/>
  <c r="A359" i="5"/>
  <c r="A363" i="5"/>
  <c r="A352" i="5"/>
  <c r="A353" i="5"/>
  <c r="A390" i="5"/>
  <c r="A376" i="5"/>
  <c r="A373" i="5"/>
  <c r="A348" i="5"/>
  <c r="A388" i="5"/>
  <c r="A356" i="5"/>
  <c r="A391" i="5"/>
  <c r="A351" i="5"/>
  <c r="A377" i="5"/>
  <c r="A383" i="5"/>
  <c r="A393" i="5"/>
  <c r="A378" i="5"/>
  <c r="A354" i="5"/>
  <c r="A395" i="5"/>
  <c r="A396" i="5"/>
  <c r="A374" i="5"/>
  <c r="G370" i="5" l="1"/>
  <c r="I371" i="5"/>
  <c r="K371" i="5" s="1"/>
  <c r="M371" i="5" s="1"/>
  <c r="O371" i="5" s="1"/>
  <c r="G348" i="5"/>
  <c r="I348" i="5" s="1"/>
  <c r="K348" i="5" s="1"/>
  <c r="M348" i="5" s="1"/>
  <c r="O348" i="5" s="1"/>
  <c r="I349" i="5"/>
  <c r="K349" i="5" s="1"/>
  <c r="M349" i="5" s="1"/>
  <c r="O349" i="5" s="1"/>
  <c r="G385" i="5"/>
  <c r="I386" i="5"/>
  <c r="K386" i="5" s="1"/>
  <c r="M386" i="5" s="1"/>
  <c r="O386" i="5" s="1"/>
  <c r="G361" i="5"/>
  <c r="I362" i="5"/>
  <c r="K362" i="5" s="1"/>
  <c r="M362" i="5" s="1"/>
  <c r="O362" i="5" s="1"/>
  <c r="G339" i="5"/>
  <c r="I344" i="5"/>
  <c r="K344" i="5" s="1"/>
  <c r="M344" i="5" s="1"/>
  <c r="O344" i="5" s="1"/>
  <c r="G329" i="5"/>
  <c r="I329" i="5" s="1"/>
  <c r="K329" i="5" s="1"/>
  <c r="M329" i="5" s="1"/>
  <c r="O329" i="5" s="1"/>
  <c r="I330" i="5"/>
  <c r="K330" i="5" s="1"/>
  <c r="M330" i="5" s="1"/>
  <c r="O330" i="5" s="1"/>
  <c r="G380" i="5"/>
  <c r="I381" i="5"/>
  <c r="K381" i="5" s="1"/>
  <c r="M381" i="5" s="1"/>
  <c r="O381" i="5" s="1"/>
  <c r="G354" i="5"/>
  <c r="I354" i="5" s="1"/>
  <c r="K354" i="5" s="1"/>
  <c r="M354" i="5" s="1"/>
  <c r="O354" i="5" s="1"/>
  <c r="I355" i="5"/>
  <c r="K355" i="5" s="1"/>
  <c r="M355" i="5" s="1"/>
  <c r="O355" i="5" s="1"/>
  <c r="G375" i="5"/>
  <c r="I376" i="5"/>
  <c r="K376" i="5" s="1"/>
  <c r="M376" i="5" s="1"/>
  <c r="O376" i="5" s="1"/>
  <c r="G351" i="5"/>
  <c r="I351" i="5" s="1"/>
  <c r="K351" i="5" s="1"/>
  <c r="M351" i="5" s="1"/>
  <c r="O351" i="5" s="1"/>
  <c r="I352" i="5"/>
  <c r="K352" i="5" s="1"/>
  <c r="M352" i="5" s="1"/>
  <c r="O352" i="5" s="1"/>
  <c r="I312" i="5"/>
  <c r="K312" i="5" s="1"/>
  <c r="M312" i="5" s="1"/>
  <c r="O312" i="5" s="1"/>
  <c r="G311" i="5"/>
  <c r="I311" i="5" s="1"/>
  <c r="K311" i="5" s="1"/>
  <c r="M311" i="5" s="1"/>
  <c r="O311" i="5" s="1"/>
  <c r="G268" i="5"/>
  <c r="I269" i="5"/>
  <c r="K269" i="5" s="1"/>
  <c r="M269" i="5" s="1"/>
  <c r="O269" i="5" s="1"/>
  <c r="G391" i="5"/>
  <c r="G396" i="5"/>
  <c r="G399" i="5"/>
  <c r="G407" i="5"/>
  <c r="G413" i="5"/>
  <c r="G420" i="5"/>
  <c r="G425" i="5"/>
  <c r="G430" i="5"/>
  <c r="G436" i="5"/>
  <c r="I436" i="5" s="1"/>
  <c r="K436" i="5" s="1"/>
  <c r="M436" i="5" s="1"/>
  <c r="O436" i="5" s="1"/>
  <c r="A425" i="5"/>
  <c r="A404" i="5"/>
  <c r="A412" i="5"/>
  <c r="A419" i="5"/>
  <c r="A435" i="5"/>
  <c r="A422" i="5"/>
  <c r="A408" i="5"/>
  <c r="A438" i="5"/>
  <c r="A414" i="5"/>
  <c r="A423" i="5"/>
  <c r="A436" i="5"/>
  <c r="A413" i="5"/>
  <c r="A399" i="5"/>
  <c r="A431" i="5"/>
  <c r="A405" i="5"/>
  <c r="A433" i="5"/>
  <c r="A421" i="5"/>
  <c r="A398" i="5"/>
  <c r="A429" i="5"/>
  <c r="A406" i="5"/>
  <c r="A397" i="5"/>
  <c r="A420" i="5"/>
  <c r="A418" i="5"/>
  <c r="A428" i="5"/>
  <c r="A426" i="5"/>
  <c r="A434" i="5"/>
  <c r="A400" i="5"/>
  <c r="A407" i="5"/>
  <c r="A430" i="5"/>
  <c r="A437" i="5"/>
  <c r="A424" i="5"/>
  <c r="G347" i="5" l="1"/>
  <c r="G346" i="5" s="1"/>
  <c r="G388" i="5"/>
  <c r="I388" i="5" s="1"/>
  <c r="K388" i="5" s="1"/>
  <c r="M388" i="5" s="1"/>
  <c r="O388" i="5" s="1"/>
  <c r="I391" i="5"/>
  <c r="K391" i="5" s="1"/>
  <c r="M391" i="5" s="1"/>
  <c r="O391" i="5" s="1"/>
  <c r="G267" i="5"/>
  <c r="I267" i="5" s="1"/>
  <c r="K267" i="5" s="1"/>
  <c r="M267" i="5" s="1"/>
  <c r="O267" i="5" s="1"/>
  <c r="I268" i="5"/>
  <c r="K268" i="5" s="1"/>
  <c r="M268" i="5" s="1"/>
  <c r="O268" i="5" s="1"/>
  <c r="G360" i="5"/>
  <c r="I361" i="5"/>
  <c r="K361" i="5" s="1"/>
  <c r="M361" i="5" s="1"/>
  <c r="O361" i="5" s="1"/>
  <c r="G429" i="5"/>
  <c r="I430" i="5"/>
  <c r="K430" i="5" s="1"/>
  <c r="M430" i="5" s="1"/>
  <c r="O430" i="5" s="1"/>
  <c r="G406" i="5"/>
  <c r="I406" i="5" s="1"/>
  <c r="K406" i="5" s="1"/>
  <c r="M406" i="5" s="1"/>
  <c r="O406" i="5" s="1"/>
  <c r="I407" i="5"/>
  <c r="K407" i="5" s="1"/>
  <c r="M407" i="5" s="1"/>
  <c r="O407" i="5" s="1"/>
  <c r="G419" i="5"/>
  <c r="I420" i="5"/>
  <c r="K420" i="5" s="1"/>
  <c r="M420" i="5" s="1"/>
  <c r="O420" i="5" s="1"/>
  <c r="G424" i="5"/>
  <c r="I425" i="5"/>
  <c r="K425" i="5" s="1"/>
  <c r="M425" i="5" s="1"/>
  <c r="O425" i="5" s="1"/>
  <c r="G398" i="5"/>
  <c r="I398" i="5" s="1"/>
  <c r="K398" i="5" s="1"/>
  <c r="M398" i="5" s="1"/>
  <c r="O398" i="5" s="1"/>
  <c r="I399" i="5"/>
  <c r="K399" i="5" s="1"/>
  <c r="M399" i="5" s="1"/>
  <c r="O399" i="5" s="1"/>
  <c r="G282" i="5"/>
  <c r="I282" i="5" s="1"/>
  <c r="K282" i="5" s="1"/>
  <c r="M282" i="5" s="1"/>
  <c r="O282" i="5" s="1"/>
  <c r="G374" i="5"/>
  <c r="I375" i="5"/>
  <c r="K375" i="5" s="1"/>
  <c r="M375" i="5" s="1"/>
  <c r="O375" i="5" s="1"/>
  <c r="G379" i="5"/>
  <c r="I380" i="5"/>
  <c r="K380" i="5" s="1"/>
  <c r="M380" i="5" s="1"/>
  <c r="O380" i="5" s="1"/>
  <c r="G335" i="5"/>
  <c r="I335" i="5" s="1"/>
  <c r="K335" i="5" s="1"/>
  <c r="M335" i="5" s="1"/>
  <c r="O335" i="5" s="1"/>
  <c r="I339" i="5"/>
  <c r="K339" i="5" s="1"/>
  <c r="M339" i="5" s="1"/>
  <c r="O339" i="5" s="1"/>
  <c r="G384" i="5"/>
  <c r="I385" i="5"/>
  <c r="K385" i="5" s="1"/>
  <c r="M385" i="5" s="1"/>
  <c r="O385" i="5" s="1"/>
  <c r="G369" i="5"/>
  <c r="I370" i="5"/>
  <c r="K370" i="5" s="1"/>
  <c r="M370" i="5" s="1"/>
  <c r="O370" i="5" s="1"/>
  <c r="G412" i="5"/>
  <c r="I412" i="5" s="1"/>
  <c r="K412" i="5" s="1"/>
  <c r="M412" i="5" s="1"/>
  <c r="O412" i="5" s="1"/>
  <c r="I413" i="5"/>
  <c r="K413" i="5" s="1"/>
  <c r="M413" i="5" s="1"/>
  <c r="O413" i="5" s="1"/>
  <c r="G395" i="5"/>
  <c r="I395" i="5" s="1"/>
  <c r="K395" i="5" s="1"/>
  <c r="M395" i="5" s="1"/>
  <c r="O395" i="5" s="1"/>
  <c r="I396" i="5"/>
  <c r="K396" i="5" s="1"/>
  <c r="M396" i="5" s="1"/>
  <c r="O396" i="5" s="1"/>
  <c r="G438" i="5"/>
  <c r="I438" i="5" s="1"/>
  <c r="K438" i="5" s="1"/>
  <c r="M438" i="5" s="1"/>
  <c r="O438" i="5" s="1"/>
  <c r="A440" i="5"/>
  <c r="A439" i="5"/>
  <c r="I347" i="5" l="1"/>
  <c r="K347" i="5" s="1"/>
  <c r="M347" i="5" s="1"/>
  <c r="O347" i="5" s="1"/>
  <c r="G383" i="5"/>
  <c r="I383" i="5" s="1"/>
  <c r="K383" i="5" s="1"/>
  <c r="M383" i="5" s="1"/>
  <c r="O383" i="5" s="1"/>
  <c r="I384" i="5"/>
  <c r="K384" i="5" s="1"/>
  <c r="M384" i="5" s="1"/>
  <c r="O384" i="5" s="1"/>
  <c r="G378" i="5"/>
  <c r="I378" i="5" s="1"/>
  <c r="K378" i="5" s="1"/>
  <c r="M378" i="5" s="1"/>
  <c r="O378" i="5" s="1"/>
  <c r="I379" i="5"/>
  <c r="K379" i="5" s="1"/>
  <c r="M379" i="5" s="1"/>
  <c r="O379" i="5" s="1"/>
  <c r="G418" i="5"/>
  <c r="I418" i="5" s="1"/>
  <c r="K418" i="5" s="1"/>
  <c r="M418" i="5" s="1"/>
  <c r="O418" i="5" s="1"/>
  <c r="I419" i="5"/>
  <c r="K419" i="5" s="1"/>
  <c r="M419" i="5" s="1"/>
  <c r="O419" i="5" s="1"/>
  <c r="G359" i="5"/>
  <c r="I360" i="5"/>
  <c r="K360" i="5" s="1"/>
  <c r="M360" i="5" s="1"/>
  <c r="O360" i="5" s="1"/>
  <c r="G368" i="5"/>
  <c r="I369" i="5"/>
  <c r="K369" i="5" s="1"/>
  <c r="M369" i="5" s="1"/>
  <c r="O369" i="5" s="1"/>
  <c r="G373" i="5"/>
  <c r="I373" i="5" s="1"/>
  <c r="K373" i="5" s="1"/>
  <c r="M373" i="5" s="1"/>
  <c r="O373" i="5" s="1"/>
  <c r="I374" i="5"/>
  <c r="K374" i="5" s="1"/>
  <c r="M374" i="5" s="1"/>
  <c r="O374" i="5" s="1"/>
  <c r="G423" i="5"/>
  <c r="I424" i="5"/>
  <c r="K424" i="5" s="1"/>
  <c r="M424" i="5" s="1"/>
  <c r="O424" i="5" s="1"/>
  <c r="G334" i="5"/>
  <c r="I346" i="5"/>
  <c r="K346" i="5" s="1"/>
  <c r="M346" i="5" s="1"/>
  <c r="O346" i="5" s="1"/>
  <c r="G428" i="5"/>
  <c r="I429" i="5"/>
  <c r="K429" i="5" s="1"/>
  <c r="M429" i="5" s="1"/>
  <c r="O429" i="5" s="1"/>
  <c r="G405" i="5"/>
  <c r="G394" i="5"/>
  <c r="I394" i="5" s="1"/>
  <c r="K394" i="5" s="1"/>
  <c r="M394" i="5" s="1"/>
  <c r="O394" i="5" s="1"/>
  <c r="G440" i="5"/>
  <c r="A442" i="5"/>
  <c r="A445" i="5"/>
  <c r="A444" i="5"/>
  <c r="A441" i="5"/>
  <c r="A446" i="5"/>
  <c r="A448" i="5"/>
  <c r="A447" i="5"/>
  <c r="I334" i="5" l="1"/>
  <c r="K334" i="5" s="1"/>
  <c r="M334" i="5" s="1"/>
  <c r="O334" i="5" s="1"/>
  <c r="G281" i="5"/>
  <c r="I281" i="5" s="1"/>
  <c r="K281" i="5" s="1"/>
  <c r="M281" i="5" s="1"/>
  <c r="O281" i="5" s="1"/>
  <c r="G358" i="5"/>
  <c r="I358" i="5" s="1"/>
  <c r="K358" i="5" s="1"/>
  <c r="M358" i="5" s="1"/>
  <c r="O358" i="5" s="1"/>
  <c r="I359" i="5"/>
  <c r="K359" i="5" s="1"/>
  <c r="M359" i="5" s="1"/>
  <c r="O359" i="5" s="1"/>
  <c r="G427" i="5"/>
  <c r="I427" i="5" s="1"/>
  <c r="K427" i="5" s="1"/>
  <c r="M427" i="5" s="1"/>
  <c r="O427" i="5" s="1"/>
  <c r="I428" i="5"/>
  <c r="K428" i="5" s="1"/>
  <c r="M428" i="5" s="1"/>
  <c r="O428" i="5" s="1"/>
  <c r="G422" i="5"/>
  <c r="I422" i="5" s="1"/>
  <c r="K422" i="5" s="1"/>
  <c r="M422" i="5" s="1"/>
  <c r="O422" i="5" s="1"/>
  <c r="I423" i="5"/>
  <c r="K423" i="5" s="1"/>
  <c r="M423" i="5" s="1"/>
  <c r="O423" i="5" s="1"/>
  <c r="I368" i="5"/>
  <c r="K368" i="5" s="1"/>
  <c r="M368" i="5" s="1"/>
  <c r="O368" i="5" s="1"/>
  <c r="G367" i="5"/>
  <c r="I367" i="5" s="1"/>
  <c r="K367" i="5" s="1"/>
  <c r="M367" i="5" s="1"/>
  <c r="O367" i="5" s="1"/>
  <c r="G435" i="5"/>
  <c r="I440" i="5"/>
  <c r="K440" i="5" s="1"/>
  <c r="M440" i="5" s="1"/>
  <c r="O440" i="5" s="1"/>
  <c r="G404" i="5"/>
  <c r="I405" i="5"/>
  <c r="K405" i="5" s="1"/>
  <c r="M405" i="5" s="1"/>
  <c r="O405" i="5" s="1"/>
  <c r="G446" i="5"/>
  <c r="I446" i="5" s="1"/>
  <c r="K446" i="5" s="1"/>
  <c r="M446" i="5" s="1"/>
  <c r="O446" i="5" s="1"/>
  <c r="G448" i="5"/>
  <c r="I448" i="5" s="1"/>
  <c r="K448" i="5" s="1"/>
  <c r="M448" i="5" s="1"/>
  <c r="O448" i="5" s="1"/>
  <c r="A449" i="5"/>
  <c r="A451" i="5"/>
  <c r="A450" i="5"/>
  <c r="G434" i="5" l="1"/>
  <c r="I435" i="5"/>
  <c r="K435" i="5" s="1"/>
  <c r="M435" i="5" s="1"/>
  <c r="O435" i="5" s="1"/>
  <c r="I404" i="5"/>
  <c r="K404" i="5" s="1"/>
  <c r="M404" i="5" s="1"/>
  <c r="O404" i="5" s="1"/>
  <c r="G393" i="5"/>
  <c r="G451" i="5"/>
  <c r="I451" i="5" s="1"/>
  <c r="K451" i="5" s="1"/>
  <c r="M451" i="5" s="1"/>
  <c r="O451" i="5" s="1"/>
  <c r="A453" i="5"/>
  <c r="A452" i="5"/>
  <c r="G433" i="5" l="1"/>
  <c r="I434" i="5"/>
  <c r="K434" i="5" s="1"/>
  <c r="M434" i="5" s="1"/>
  <c r="O434" i="5" s="1"/>
  <c r="I393" i="5"/>
  <c r="K393" i="5" s="1"/>
  <c r="M393" i="5" s="1"/>
  <c r="O393" i="5" s="1"/>
  <c r="G366" i="5"/>
  <c r="G450" i="5"/>
  <c r="G453" i="5"/>
  <c r="G463" i="5"/>
  <c r="A460" i="5"/>
  <c r="A455" i="5"/>
  <c r="A458" i="5"/>
  <c r="A459" i="5"/>
  <c r="A463" i="5"/>
  <c r="A462" i="5"/>
  <c r="A456" i="5"/>
  <c r="A465" i="5"/>
  <c r="A461" i="5"/>
  <c r="A466" i="5"/>
  <c r="A454" i="5"/>
  <c r="F1349" i="6" l="1"/>
  <c r="H1349" i="6" s="1"/>
  <c r="J1349" i="6" s="1"/>
  <c r="L1349" i="6" s="1"/>
  <c r="N1349" i="6" s="1"/>
  <c r="I463" i="5"/>
  <c r="K463" i="5" s="1"/>
  <c r="M463" i="5" s="1"/>
  <c r="O463" i="5" s="1"/>
  <c r="G452" i="5"/>
  <c r="I452" i="5" s="1"/>
  <c r="K452" i="5" s="1"/>
  <c r="M452" i="5" s="1"/>
  <c r="O452" i="5" s="1"/>
  <c r="I453" i="5"/>
  <c r="K453" i="5" s="1"/>
  <c r="M453" i="5" s="1"/>
  <c r="O453" i="5" s="1"/>
  <c r="G445" i="5"/>
  <c r="I445" i="5" s="1"/>
  <c r="K445" i="5" s="1"/>
  <c r="M445" i="5" s="1"/>
  <c r="O445" i="5" s="1"/>
  <c r="I450" i="5"/>
  <c r="K450" i="5" s="1"/>
  <c r="M450" i="5" s="1"/>
  <c r="O450" i="5" s="1"/>
  <c r="G432" i="5"/>
  <c r="I432" i="5" s="1"/>
  <c r="K432" i="5" s="1"/>
  <c r="M432" i="5" s="1"/>
  <c r="O432" i="5" s="1"/>
  <c r="I433" i="5"/>
  <c r="K433" i="5" s="1"/>
  <c r="M433" i="5" s="1"/>
  <c r="O433" i="5" s="1"/>
  <c r="I366" i="5"/>
  <c r="K366" i="5" s="1"/>
  <c r="M366" i="5" s="1"/>
  <c r="O366" i="5" s="1"/>
  <c r="G462" i="5"/>
  <c r="A469" i="5"/>
  <c r="A467" i="5"/>
  <c r="A470" i="5"/>
  <c r="A468" i="5"/>
  <c r="G357" i="5" l="1"/>
  <c r="I357" i="5" s="1"/>
  <c r="K357" i="5" s="1"/>
  <c r="M357" i="5" s="1"/>
  <c r="O357" i="5" s="1"/>
  <c r="G461" i="5"/>
  <c r="I462" i="5"/>
  <c r="K462" i="5" s="1"/>
  <c r="M462" i="5" s="1"/>
  <c r="O462" i="5" s="1"/>
  <c r="G444" i="5"/>
  <c r="G470" i="5"/>
  <c r="I470" i="5" s="1"/>
  <c r="K470" i="5" s="1"/>
  <c r="M470" i="5" s="1"/>
  <c r="O470" i="5" s="1"/>
  <c r="A471" i="5"/>
  <c r="G460" i="5" l="1"/>
  <c r="I461" i="5"/>
  <c r="K461" i="5" s="1"/>
  <c r="M461" i="5" s="1"/>
  <c r="O461" i="5" s="1"/>
  <c r="G443" i="5"/>
  <c r="I444" i="5"/>
  <c r="K444" i="5" s="1"/>
  <c r="M444" i="5" s="1"/>
  <c r="O444" i="5" s="1"/>
  <c r="G469" i="5"/>
  <c r="I469" i="5" s="1"/>
  <c r="K469" i="5" s="1"/>
  <c r="M469" i="5" s="1"/>
  <c r="O469" i="5" s="1"/>
  <c r="G471" i="5"/>
  <c r="I471" i="5" s="1"/>
  <c r="K471" i="5" s="1"/>
  <c r="M471" i="5" s="1"/>
  <c r="O471" i="5" s="1"/>
  <c r="A473" i="5"/>
  <c r="A472" i="5"/>
  <c r="G459" i="5" l="1"/>
  <c r="I460" i="5"/>
  <c r="K460" i="5" s="1"/>
  <c r="M460" i="5" s="1"/>
  <c r="O460" i="5" s="1"/>
  <c r="I443" i="5"/>
  <c r="K443" i="5" s="1"/>
  <c r="M443" i="5" s="1"/>
  <c r="O443" i="5" s="1"/>
  <c r="G442" i="5"/>
  <c r="G473" i="5"/>
  <c r="G479" i="5"/>
  <c r="G487" i="5"/>
  <c r="G495" i="5"/>
  <c r="G501" i="5"/>
  <c r="A474" i="5"/>
  <c r="A494" i="5"/>
  <c r="A489" i="5"/>
  <c r="A487" i="5"/>
  <c r="A492" i="5"/>
  <c r="A477" i="5"/>
  <c r="A480" i="5"/>
  <c r="A500" i="5"/>
  <c r="A497" i="5"/>
  <c r="A502" i="5"/>
  <c r="A478" i="5"/>
  <c r="A485" i="5"/>
  <c r="A488" i="5"/>
  <c r="A509" i="5"/>
  <c r="A508" i="5"/>
  <c r="A505" i="5"/>
  <c r="A479" i="5"/>
  <c r="A486" i="5"/>
  <c r="A501" i="5"/>
  <c r="A506" i="5"/>
  <c r="A483" i="5"/>
  <c r="A496" i="5"/>
  <c r="A493" i="5"/>
  <c r="A495" i="5"/>
  <c r="A504" i="5"/>
  <c r="A484" i="5"/>
  <c r="A481" i="5"/>
  <c r="A499" i="5"/>
  <c r="A476" i="5"/>
  <c r="A490" i="5"/>
  <c r="G494" i="5" l="1"/>
  <c r="I495" i="5"/>
  <c r="K495" i="5" s="1"/>
  <c r="M495" i="5" s="1"/>
  <c r="O495" i="5" s="1"/>
  <c r="G18" i="5"/>
  <c r="I18" i="5" s="1"/>
  <c r="K18" i="5" s="1"/>
  <c r="M18" i="5" s="1"/>
  <c r="O18" i="5" s="1"/>
  <c r="I442" i="5"/>
  <c r="K442" i="5" s="1"/>
  <c r="M442" i="5" s="1"/>
  <c r="O442" i="5" s="1"/>
  <c r="G486" i="5"/>
  <c r="I487" i="5"/>
  <c r="K487" i="5" s="1"/>
  <c r="M487" i="5" s="1"/>
  <c r="O487" i="5" s="1"/>
  <c r="G500" i="5"/>
  <c r="I501" i="5"/>
  <c r="K501" i="5" s="1"/>
  <c r="M501" i="5" s="1"/>
  <c r="O501" i="5" s="1"/>
  <c r="G468" i="5"/>
  <c r="I473" i="5"/>
  <c r="K473" i="5" s="1"/>
  <c r="M473" i="5" s="1"/>
  <c r="O473" i="5" s="1"/>
  <c r="G458" i="5"/>
  <c r="I459" i="5"/>
  <c r="K459" i="5" s="1"/>
  <c r="M459" i="5" s="1"/>
  <c r="O459" i="5" s="1"/>
  <c r="G478" i="5"/>
  <c r="I479" i="5"/>
  <c r="K479" i="5" s="1"/>
  <c r="M479" i="5" s="1"/>
  <c r="O479" i="5" s="1"/>
  <c r="G509" i="5"/>
  <c r="I509" i="5" s="1"/>
  <c r="K509" i="5" s="1"/>
  <c r="M509" i="5" s="1"/>
  <c r="O509" i="5" s="1"/>
  <c r="A510" i="5"/>
  <c r="A511" i="5"/>
  <c r="G467" i="5" l="1"/>
  <c r="I468" i="5"/>
  <c r="K468" i="5" s="1"/>
  <c r="M468" i="5" s="1"/>
  <c r="O468" i="5" s="1"/>
  <c r="G485" i="5"/>
  <c r="I486" i="5"/>
  <c r="K486" i="5" s="1"/>
  <c r="M486" i="5" s="1"/>
  <c r="O486" i="5" s="1"/>
  <c r="G493" i="5"/>
  <c r="I494" i="5"/>
  <c r="K494" i="5" s="1"/>
  <c r="M494" i="5" s="1"/>
  <c r="O494" i="5" s="1"/>
  <c r="G457" i="5"/>
  <c r="I458" i="5"/>
  <c r="K458" i="5" s="1"/>
  <c r="M458" i="5" s="1"/>
  <c r="O458" i="5" s="1"/>
  <c r="G499" i="5"/>
  <c r="I500" i="5"/>
  <c r="K500" i="5" s="1"/>
  <c r="M500" i="5" s="1"/>
  <c r="O500" i="5" s="1"/>
  <c r="G477" i="5"/>
  <c r="I478" i="5"/>
  <c r="K478" i="5" s="1"/>
  <c r="M478" i="5" s="1"/>
  <c r="O478" i="5" s="1"/>
  <c r="G508" i="5"/>
  <c r="I508" i="5" s="1"/>
  <c r="K508" i="5" s="1"/>
  <c r="M508" i="5" s="1"/>
  <c r="O508" i="5" s="1"/>
  <c r="G511" i="5"/>
  <c r="I511" i="5" s="1"/>
  <c r="K511" i="5" s="1"/>
  <c r="M511" i="5" s="1"/>
  <c r="O511" i="5" s="1"/>
  <c r="A512" i="5"/>
  <c r="A514" i="5"/>
  <c r="G498" i="5" l="1"/>
  <c r="I498" i="5" s="1"/>
  <c r="K498" i="5" s="1"/>
  <c r="M498" i="5" s="1"/>
  <c r="O498" i="5" s="1"/>
  <c r="I499" i="5"/>
  <c r="K499" i="5" s="1"/>
  <c r="M499" i="5" s="1"/>
  <c r="O499" i="5" s="1"/>
  <c r="G492" i="5"/>
  <c r="I493" i="5"/>
  <c r="K493" i="5" s="1"/>
  <c r="M493" i="5" s="1"/>
  <c r="O493" i="5" s="1"/>
  <c r="I467" i="5"/>
  <c r="K467" i="5" s="1"/>
  <c r="M467" i="5" s="1"/>
  <c r="O467" i="5" s="1"/>
  <c r="G466" i="5"/>
  <c r="D20" i="1"/>
  <c r="F20" i="1" s="1"/>
  <c r="H20" i="1" s="1"/>
  <c r="J20" i="1" s="1"/>
  <c r="L20" i="1" s="1"/>
  <c r="I457" i="5"/>
  <c r="K457" i="5" s="1"/>
  <c r="M457" i="5" s="1"/>
  <c r="O457" i="5" s="1"/>
  <c r="G484" i="5"/>
  <c r="I485" i="5"/>
  <c r="K485" i="5" s="1"/>
  <c r="M485" i="5" s="1"/>
  <c r="O485" i="5" s="1"/>
  <c r="G476" i="5"/>
  <c r="I477" i="5"/>
  <c r="K477" i="5" s="1"/>
  <c r="M477" i="5" s="1"/>
  <c r="O477" i="5" s="1"/>
  <c r="G510" i="5"/>
  <c r="I510" i="5" s="1"/>
  <c r="K510" i="5" s="1"/>
  <c r="M510" i="5" s="1"/>
  <c r="O510" i="5" s="1"/>
  <c r="G514" i="5"/>
  <c r="A515" i="5"/>
  <c r="A516" i="5"/>
  <c r="G491" i="5" l="1"/>
  <c r="I492" i="5"/>
  <c r="K492" i="5" s="1"/>
  <c r="M492" i="5" s="1"/>
  <c r="O492" i="5" s="1"/>
  <c r="G512" i="5"/>
  <c r="I512" i="5" s="1"/>
  <c r="K512" i="5" s="1"/>
  <c r="M512" i="5" s="1"/>
  <c r="O512" i="5" s="1"/>
  <c r="I514" i="5"/>
  <c r="K514" i="5" s="1"/>
  <c r="M514" i="5" s="1"/>
  <c r="O514" i="5" s="1"/>
  <c r="G465" i="5"/>
  <c r="I466" i="5"/>
  <c r="K466" i="5" s="1"/>
  <c r="M466" i="5" s="1"/>
  <c r="O466" i="5" s="1"/>
  <c r="G483" i="5"/>
  <c r="I484" i="5"/>
  <c r="K484" i="5" s="1"/>
  <c r="M484" i="5" s="1"/>
  <c r="O484" i="5" s="1"/>
  <c r="G475" i="5"/>
  <c r="I476" i="5"/>
  <c r="K476" i="5" s="1"/>
  <c r="M476" i="5" s="1"/>
  <c r="O476" i="5" s="1"/>
  <c r="G507" i="5"/>
  <c r="I507" i="5" s="1"/>
  <c r="K507" i="5" s="1"/>
  <c r="M507" i="5" s="1"/>
  <c r="O507" i="5" s="1"/>
  <c r="G516" i="5"/>
  <c r="G519" i="5"/>
  <c r="G523" i="5"/>
  <c r="G526" i="5"/>
  <c r="G530" i="5"/>
  <c r="G536" i="5"/>
  <c r="G551" i="5"/>
  <c r="G556" i="5"/>
  <c r="G559" i="5"/>
  <c r="G562" i="5"/>
  <c r="G565" i="5"/>
  <c r="A548" i="5"/>
  <c r="A550" i="5"/>
  <c r="A566" i="5"/>
  <c r="A530" i="5"/>
  <c r="A517" i="5"/>
  <c r="A528" i="5"/>
  <c r="A518" i="5"/>
  <c r="A553" i="5"/>
  <c r="A527" i="5"/>
  <c r="A524" i="5"/>
  <c r="A552" i="5"/>
  <c r="A533" i="5"/>
  <c r="A562" i="5"/>
  <c r="A522" i="5"/>
  <c r="A520" i="5"/>
  <c r="A560" i="5"/>
  <c r="A549" i="5"/>
  <c r="A535" i="5"/>
  <c r="A529" i="5"/>
  <c r="A556" i="5"/>
  <c r="A521" i="5"/>
  <c r="A557" i="5"/>
  <c r="A554" i="5"/>
  <c r="A531" i="5"/>
  <c r="A537" i="5"/>
  <c r="A551" i="5"/>
  <c r="A526" i="5"/>
  <c r="A563" i="5"/>
  <c r="A561" i="5"/>
  <c r="A519" i="5"/>
  <c r="A559" i="5"/>
  <c r="A523" i="5"/>
  <c r="A558" i="5"/>
  <c r="A534" i="5"/>
  <c r="A538" i="5"/>
  <c r="A536" i="5"/>
  <c r="A525" i="5"/>
  <c r="A565" i="5"/>
  <c r="A555" i="5"/>
  <c r="A564" i="5"/>
  <c r="G558" i="5" l="1"/>
  <c r="I558" i="5" s="1"/>
  <c r="K558" i="5" s="1"/>
  <c r="M558" i="5" s="1"/>
  <c r="O558" i="5" s="1"/>
  <c r="I559" i="5"/>
  <c r="K559" i="5" s="1"/>
  <c r="M559" i="5" s="1"/>
  <c r="O559" i="5" s="1"/>
  <c r="G515" i="5"/>
  <c r="I515" i="5" s="1"/>
  <c r="K515" i="5" s="1"/>
  <c r="M515" i="5" s="1"/>
  <c r="O515" i="5" s="1"/>
  <c r="I516" i="5"/>
  <c r="K516" i="5" s="1"/>
  <c r="M516" i="5" s="1"/>
  <c r="O516" i="5" s="1"/>
  <c r="G555" i="5"/>
  <c r="I555" i="5" s="1"/>
  <c r="K555" i="5" s="1"/>
  <c r="M555" i="5" s="1"/>
  <c r="O555" i="5" s="1"/>
  <c r="I556" i="5"/>
  <c r="K556" i="5" s="1"/>
  <c r="M556" i="5" s="1"/>
  <c r="O556" i="5" s="1"/>
  <c r="G482" i="5"/>
  <c r="I483" i="5"/>
  <c r="K483" i="5" s="1"/>
  <c r="M483" i="5" s="1"/>
  <c r="O483" i="5" s="1"/>
  <c r="G564" i="5"/>
  <c r="I564" i="5" s="1"/>
  <c r="K564" i="5" s="1"/>
  <c r="M564" i="5" s="1"/>
  <c r="O564" i="5" s="1"/>
  <c r="I565" i="5"/>
  <c r="K565" i="5" s="1"/>
  <c r="M565" i="5" s="1"/>
  <c r="O565" i="5" s="1"/>
  <c r="G550" i="5"/>
  <c r="I551" i="5"/>
  <c r="K551" i="5" s="1"/>
  <c r="M551" i="5" s="1"/>
  <c r="O551" i="5" s="1"/>
  <c r="G561" i="5"/>
  <c r="I561" i="5" s="1"/>
  <c r="K561" i="5" s="1"/>
  <c r="M561" i="5" s="1"/>
  <c r="O561" i="5" s="1"/>
  <c r="I562" i="5"/>
  <c r="K562" i="5" s="1"/>
  <c r="M562" i="5" s="1"/>
  <c r="O562" i="5" s="1"/>
  <c r="G535" i="5"/>
  <c r="I536" i="5"/>
  <c r="K536" i="5" s="1"/>
  <c r="M536" i="5" s="1"/>
  <c r="O536" i="5" s="1"/>
  <c r="G464" i="5"/>
  <c r="I464" i="5" s="1"/>
  <c r="K464" i="5" s="1"/>
  <c r="M464" i="5" s="1"/>
  <c r="O464" i="5" s="1"/>
  <c r="I465" i="5"/>
  <c r="K465" i="5" s="1"/>
  <c r="M465" i="5" s="1"/>
  <c r="O465" i="5" s="1"/>
  <c r="I491" i="5"/>
  <c r="K491" i="5" s="1"/>
  <c r="M491" i="5" s="1"/>
  <c r="O491" i="5" s="1"/>
  <c r="G490" i="5"/>
  <c r="I490" i="5" s="1"/>
  <c r="K490" i="5" s="1"/>
  <c r="M490" i="5" s="1"/>
  <c r="O490" i="5" s="1"/>
  <c r="G522" i="5"/>
  <c r="I523" i="5"/>
  <c r="K523" i="5" s="1"/>
  <c r="M523" i="5" s="1"/>
  <c r="O523" i="5" s="1"/>
  <c r="G525" i="5"/>
  <c r="I525" i="5" s="1"/>
  <c r="K525" i="5" s="1"/>
  <c r="M525" i="5" s="1"/>
  <c r="O525" i="5" s="1"/>
  <c r="I526" i="5"/>
  <c r="K526" i="5" s="1"/>
  <c r="M526" i="5" s="1"/>
  <c r="O526" i="5" s="1"/>
  <c r="G518" i="5"/>
  <c r="I518" i="5" s="1"/>
  <c r="K518" i="5" s="1"/>
  <c r="M518" i="5" s="1"/>
  <c r="O518" i="5" s="1"/>
  <c r="I519" i="5"/>
  <c r="K519" i="5" s="1"/>
  <c r="M519" i="5" s="1"/>
  <c r="O519" i="5" s="1"/>
  <c r="G529" i="5"/>
  <c r="I530" i="5"/>
  <c r="K530" i="5" s="1"/>
  <c r="M530" i="5" s="1"/>
  <c r="O530" i="5" s="1"/>
  <c r="I475" i="5"/>
  <c r="K475" i="5" s="1"/>
  <c r="M475" i="5" s="1"/>
  <c r="O475" i="5" s="1"/>
  <c r="G574" i="5"/>
  <c r="G579" i="5"/>
  <c r="I579" i="5" s="1"/>
  <c r="K579" i="5" s="1"/>
  <c r="M579" i="5" s="1"/>
  <c r="O579" i="5" s="1"/>
  <c r="A571" i="5"/>
  <c r="A573" i="5"/>
  <c r="A580" i="5"/>
  <c r="A572" i="5"/>
  <c r="A579" i="5"/>
  <c r="A581" i="5"/>
  <c r="A576" i="5"/>
  <c r="A577" i="5"/>
  <c r="A574" i="5"/>
  <c r="A575" i="5"/>
  <c r="A578" i="5"/>
  <c r="G506" i="5" l="1"/>
  <c r="I506" i="5" s="1"/>
  <c r="K506" i="5" s="1"/>
  <c r="M506" i="5" s="1"/>
  <c r="O506" i="5" s="1"/>
  <c r="G456" i="5"/>
  <c r="G554" i="5"/>
  <c r="I554" i="5" s="1"/>
  <c r="K554" i="5" s="1"/>
  <c r="M554" i="5" s="1"/>
  <c r="O554" i="5" s="1"/>
  <c r="G534" i="5"/>
  <c r="I535" i="5"/>
  <c r="K535" i="5" s="1"/>
  <c r="M535" i="5" s="1"/>
  <c r="O535" i="5" s="1"/>
  <c r="G549" i="5"/>
  <c r="I550" i="5"/>
  <c r="K550" i="5" s="1"/>
  <c r="M550" i="5" s="1"/>
  <c r="O550" i="5" s="1"/>
  <c r="I482" i="5"/>
  <c r="K482" i="5" s="1"/>
  <c r="M482" i="5" s="1"/>
  <c r="O482" i="5" s="1"/>
  <c r="G481" i="5"/>
  <c r="I481" i="5" s="1"/>
  <c r="K481" i="5" s="1"/>
  <c r="M481" i="5" s="1"/>
  <c r="O481" i="5" s="1"/>
  <c r="G573" i="5"/>
  <c r="I574" i="5"/>
  <c r="K574" i="5" s="1"/>
  <c r="M574" i="5" s="1"/>
  <c r="O574" i="5" s="1"/>
  <c r="G521" i="5"/>
  <c r="I521" i="5" s="1"/>
  <c r="K521" i="5" s="1"/>
  <c r="M521" i="5" s="1"/>
  <c r="O521" i="5" s="1"/>
  <c r="I522" i="5"/>
  <c r="K522" i="5" s="1"/>
  <c r="M522" i="5" s="1"/>
  <c r="O522" i="5" s="1"/>
  <c r="G528" i="5"/>
  <c r="I528" i="5" s="1"/>
  <c r="K528" i="5" s="1"/>
  <c r="M528" i="5" s="1"/>
  <c r="O528" i="5" s="1"/>
  <c r="I529" i="5"/>
  <c r="K529" i="5" s="1"/>
  <c r="M529" i="5" s="1"/>
  <c r="O529" i="5" s="1"/>
  <c r="G581" i="5"/>
  <c r="G588" i="5"/>
  <c r="I588" i="5" s="1"/>
  <c r="K588" i="5" s="1"/>
  <c r="M588" i="5" s="1"/>
  <c r="O588" i="5" s="1"/>
  <c r="A582" i="5"/>
  <c r="A587" i="5"/>
  <c r="A586" i="5"/>
  <c r="A585" i="5"/>
  <c r="A584" i="5"/>
  <c r="A589" i="5"/>
  <c r="A588" i="5"/>
  <c r="G455" i="5" l="1"/>
  <c r="I455" i="5" s="1"/>
  <c r="K455" i="5" s="1"/>
  <c r="M455" i="5" s="1"/>
  <c r="O455" i="5" s="1"/>
  <c r="G553" i="5"/>
  <c r="I553" i="5" s="1"/>
  <c r="K553" i="5" s="1"/>
  <c r="M553" i="5" s="1"/>
  <c r="O553" i="5" s="1"/>
  <c r="I456" i="5"/>
  <c r="K456" i="5" s="1"/>
  <c r="M456" i="5" s="1"/>
  <c r="O456" i="5" s="1"/>
  <c r="G505" i="5"/>
  <c r="G504" i="5" s="1"/>
  <c r="G572" i="5"/>
  <c r="I573" i="5"/>
  <c r="K573" i="5" s="1"/>
  <c r="M573" i="5" s="1"/>
  <c r="O573" i="5" s="1"/>
  <c r="G548" i="5"/>
  <c r="I548" i="5" s="1"/>
  <c r="K548" i="5" s="1"/>
  <c r="M548" i="5" s="1"/>
  <c r="O548" i="5" s="1"/>
  <c r="I549" i="5"/>
  <c r="K549" i="5" s="1"/>
  <c r="M549" i="5" s="1"/>
  <c r="O549" i="5" s="1"/>
  <c r="G578" i="5"/>
  <c r="I581" i="5"/>
  <c r="K581" i="5" s="1"/>
  <c r="M581" i="5" s="1"/>
  <c r="O581" i="5" s="1"/>
  <c r="G533" i="5"/>
  <c r="I534" i="5"/>
  <c r="K534" i="5" s="1"/>
  <c r="M534" i="5" s="1"/>
  <c r="O534" i="5" s="1"/>
  <c r="G587" i="5"/>
  <c r="I587" i="5" s="1"/>
  <c r="K587" i="5" s="1"/>
  <c r="M587" i="5" s="1"/>
  <c r="O587" i="5" s="1"/>
  <c r="G589" i="5"/>
  <c r="I589" i="5" s="1"/>
  <c r="K589" i="5" s="1"/>
  <c r="M589" i="5" s="1"/>
  <c r="O589" i="5" s="1"/>
  <c r="G594" i="5"/>
  <c r="A590" i="5"/>
  <c r="A596" i="5"/>
  <c r="A593" i="5"/>
  <c r="A591" i="5"/>
  <c r="A595" i="5"/>
  <c r="A592" i="5"/>
  <c r="A594" i="5"/>
  <c r="I505" i="5" l="1"/>
  <c r="K505" i="5" s="1"/>
  <c r="M505" i="5" s="1"/>
  <c r="O505" i="5" s="1"/>
  <c r="G539" i="5"/>
  <c r="I539" i="5" s="1"/>
  <c r="K539" i="5" s="1"/>
  <c r="M539" i="5" s="1"/>
  <c r="O539" i="5" s="1"/>
  <c r="G593" i="5"/>
  <c r="I594" i="5"/>
  <c r="K594" i="5" s="1"/>
  <c r="M594" i="5" s="1"/>
  <c r="O594" i="5" s="1"/>
  <c r="G532" i="5"/>
  <c r="I532" i="5" s="1"/>
  <c r="K532" i="5" s="1"/>
  <c r="M532" i="5" s="1"/>
  <c r="O532" i="5" s="1"/>
  <c r="I533" i="5"/>
  <c r="K533" i="5" s="1"/>
  <c r="M533" i="5" s="1"/>
  <c r="O533" i="5" s="1"/>
  <c r="G577" i="5"/>
  <c r="I578" i="5"/>
  <c r="K578" i="5" s="1"/>
  <c r="M578" i="5" s="1"/>
  <c r="O578" i="5" s="1"/>
  <c r="G571" i="5"/>
  <c r="I572" i="5"/>
  <c r="K572" i="5" s="1"/>
  <c r="M572" i="5" s="1"/>
  <c r="O572" i="5" s="1"/>
  <c r="G503" i="5"/>
  <c r="I504" i="5"/>
  <c r="K504" i="5" s="1"/>
  <c r="M504" i="5" s="1"/>
  <c r="O504" i="5" s="1"/>
  <c r="G586" i="5"/>
  <c r="G600" i="5"/>
  <c r="G608" i="5"/>
  <c r="G614" i="5"/>
  <c r="G617" i="5"/>
  <c r="G624" i="5"/>
  <c r="G629" i="5"/>
  <c r="I629" i="5" s="1"/>
  <c r="K629" i="5" s="1"/>
  <c r="M629" i="5" s="1"/>
  <c r="O629" i="5" s="1"/>
  <c r="A626" i="5"/>
  <c r="A623" i="5"/>
  <c r="A599" i="5"/>
  <c r="A609" i="5"/>
  <c r="A619" i="5"/>
  <c r="A614" i="5"/>
  <c r="A615" i="5"/>
  <c r="A613" i="5"/>
  <c r="A618" i="5"/>
  <c r="A620" i="5"/>
  <c r="A629" i="5"/>
  <c r="A598" i="5"/>
  <c r="A607" i="5"/>
  <c r="A625" i="5"/>
  <c r="A601" i="5"/>
  <c r="A610" i="5"/>
  <c r="A616" i="5"/>
  <c r="A630" i="5"/>
  <c r="A612" i="5"/>
  <c r="A608" i="5"/>
  <c r="A622" i="5"/>
  <c r="A600" i="5"/>
  <c r="A602" i="5"/>
  <c r="A628" i="5"/>
  <c r="A624" i="5"/>
  <c r="A605" i="5"/>
  <c r="A617" i="5"/>
  <c r="A604" i="5"/>
  <c r="A627" i="5"/>
  <c r="A606" i="5"/>
  <c r="G616" i="5" l="1"/>
  <c r="I616" i="5" s="1"/>
  <c r="K616" i="5" s="1"/>
  <c r="M616" i="5" s="1"/>
  <c r="O616" i="5" s="1"/>
  <c r="I617" i="5"/>
  <c r="K617" i="5" s="1"/>
  <c r="M617" i="5" s="1"/>
  <c r="O617" i="5" s="1"/>
  <c r="G613" i="5"/>
  <c r="I613" i="5" s="1"/>
  <c r="K613" i="5" s="1"/>
  <c r="M613" i="5" s="1"/>
  <c r="O613" i="5" s="1"/>
  <c r="I614" i="5"/>
  <c r="K614" i="5" s="1"/>
  <c r="M614" i="5" s="1"/>
  <c r="O614" i="5" s="1"/>
  <c r="G585" i="5"/>
  <c r="I586" i="5"/>
  <c r="K586" i="5" s="1"/>
  <c r="M586" i="5" s="1"/>
  <c r="O586" i="5" s="1"/>
  <c r="I571" i="5"/>
  <c r="K571" i="5" s="1"/>
  <c r="M571" i="5" s="1"/>
  <c r="O571" i="5" s="1"/>
  <c r="G607" i="5"/>
  <c r="I608" i="5"/>
  <c r="K608" i="5" s="1"/>
  <c r="M608" i="5" s="1"/>
  <c r="O608" i="5" s="1"/>
  <c r="G599" i="5"/>
  <c r="I600" i="5"/>
  <c r="K600" i="5" s="1"/>
  <c r="M600" i="5" s="1"/>
  <c r="O600" i="5" s="1"/>
  <c r="G576" i="5"/>
  <c r="I576" i="5" s="1"/>
  <c r="K576" i="5" s="1"/>
  <c r="M576" i="5" s="1"/>
  <c r="O576" i="5" s="1"/>
  <c r="I577" i="5"/>
  <c r="K577" i="5" s="1"/>
  <c r="M577" i="5" s="1"/>
  <c r="O577" i="5" s="1"/>
  <c r="G592" i="5"/>
  <c r="I593" i="5"/>
  <c r="K593" i="5" s="1"/>
  <c r="M593" i="5" s="1"/>
  <c r="O593" i="5" s="1"/>
  <c r="G623" i="5"/>
  <c r="I623" i="5" s="1"/>
  <c r="K623" i="5" s="1"/>
  <c r="M623" i="5" s="1"/>
  <c r="O623" i="5" s="1"/>
  <c r="I624" i="5"/>
  <c r="K624" i="5" s="1"/>
  <c r="M624" i="5" s="1"/>
  <c r="O624" i="5" s="1"/>
  <c r="I503" i="5"/>
  <c r="K503" i="5" s="1"/>
  <c r="M503" i="5" s="1"/>
  <c r="O503" i="5" s="1"/>
  <c r="G497" i="5"/>
  <c r="I497" i="5" s="1"/>
  <c r="K497" i="5" s="1"/>
  <c r="M497" i="5" s="1"/>
  <c r="O497" i="5" s="1"/>
  <c r="G628" i="5"/>
  <c r="I628" i="5" s="1"/>
  <c r="K628" i="5" s="1"/>
  <c r="M628" i="5" s="1"/>
  <c r="O628" i="5" s="1"/>
  <c r="G630" i="5"/>
  <c r="I630" i="5" s="1"/>
  <c r="K630" i="5" s="1"/>
  <c r="M630" i="5" s="1"/>
  <c r="O630" i="5" s="1"/>
  <c r="G639" i="5"/>
  <c r="A643" i="5"/>
  <c r="A644" i="5"/>
  <c r="A645" i="5"/>
  <c r="A637" i="5"/>
  <c r="A639" i="5"/>
  <c r="A636" i="5"/>
  <c r="A638" i="5"/>
  <c r="A632" i="5"/>
  <c r="A640" i="5"/>
  <c r="A642" i="5"/>
  <c r="A631" i="5"/>
  <c r="A641" i="5"/>
  <c r="A633" i="5"/>
  <c r="A635" i="5"/>
  <c r="G570" i="5" l="1"/>
  <c r="G638" i="5"/>
  <c r="I639" i="5"/>
  <c r="K639" i="5" s="1"/>
  <c r="M639" i="5" s="1"/>
  <c r="O639" i="5" s="1"/>
  <c r="G612" i="5"/>
  <c r="I592" i="5"/>
  <c r="K592" i="5" s="1"/>
  <c r="M592" i="5" s="1"/>
  <c r="O592" i="5" s="1"/>
  <c r="G591" i="5"/>
  <c r="I591" i="5" s="1"/>
  <c r="K591" i="5" s="1"/>
  <c r="M591" i="5" s="1"/>
  <c r="O591" i="5" s="1"/>
  <c r="G598" i="5"/>
  <c r="I599" i="5"/>
  <c r="K599" i="5" s="1"/>
  <c r="M599" i="5" s="1"/>
  <c r="O599" i="5" s="1"/>
  <c r="G606" i="5"/>
  <c r="I607" i="5"/>
  <c r="K607" i="5" s="1"/>
  <c r="M607" i="5" s="1"/>
  <c r="O607" i="5" s="1"/>
  <c r="G584" i="5"/>
  <c r="I585" i="5"/>
  <c r="K585" i="5" s="1"/>
  <c r="M585" i="5" s="1"/>
  <c r="O585" i="5" s="1"/>
  <c r="G627" i="5"/>
  <c r="A662" i="5"/>
  <c r="A664" i="5"/>
  <c r="A665" i="5"/>
  <c r="A663" i="5"/>
  <c r="G637" i="5" l="1"/>
  <c r="I637" i="5" s="1"/>
  <c r="K637" i="5" s="1"/>
  <c r="M637" i="5" s="1"/>
  <c r="O637" i="5" s="1"/>
  <c r="I638" i="5"/>
  <c r="K638" i="5" s="1"/>
  <c r="M638" i="5" s="1"/>
  <c r="O638" i="5" s="1"/>
  <c r="G626" i="5"/>
  <c r="G622" i="5" s="1"/>
  <c r="I627" i="5"/>
  <c r="K627" i="5" s="1"/>
  <c r="M627" i="5" s="1"/>
  <c r="O627" i="5" s="1"/>
  <c r="G605" i="5"/>
  <c r="I606" i="5"/>
  <c r="K606" i="5" s="1"/>
  <c r="M606" i="5" s="1"/>
  <c r="O606" i="5" s="1"/>
  <c r="I570" i="5"/>
  <c r="K570" i="5" s="1"/>
  <c r="M570" i="5" s="1"/>
  <c r="O570" i="5" s="1"/>
  <c r="G611" i="5"/>
  <c r="I612" i="5"/>
  <c r="K612" i="5" s="1"/>
  <c r="M612" i="5" s="1"/>
  <c r="O612" i="5" s="1"/>
  <c r="G583" i="5"/>
  <c r="I583" i="5" s="1"/>
  <c r="K583" i="5" s="1"/>
  <c r="M583" i="5" s="1"/>
  <c r="O583" i="5" s="1"/>
  <c r="I584" i="5"/>
  <c r="K584" i="5" s="1"/>
  <c r="M584" i="5" s="1"/>
  <c r="O584" i="5" s="1"/>
  <c r="G597" i="5"/>
  <c r="I598" i="5"/>
  <c r="K598" i="5" s="1"/>
  <c r="M598" i="5" s="1"/>
  <c r="O598" i="5" s="1"/>
  <c r="G643" i="5"/>
  <c r="G665" i="5"/>
  <c r="A668" i="5"/>
  <c r="A671" i="5"/>
  <c r="A670" i="5"/>
  <c r="A669" i="5"/>
  <c r="A667" i="5"/>
  <c r="A672" i="5"/>
  <c r="A666" i="5"/>
  <c r="I626" i="5" l="1"/>
  <c r="K626" i="5" s="1"/>
  <c r="M626" i="5" s="1"/>
  <c r="O626" i="5" s="1"/>
  <c r="G538" i="5"/>
  <c r="I538" i="5" s="1"/>
  <c r="K538" i="5" s="1"/>
  <c r="M538" i="5" s="1"/>
  <c r="O538" i="5" s="1"/>
  <c r="G664" i="5"/>
  <c r="I665" i="5"/>
  <c r="K665" i="5" s="1"/>
  <c r="M665" i="5" s="1"/>
  <c r="O665" i="5" s="1"/>
  <c r="G642" i="5"/>
  <c r="I643" i="5"/>
  <c r="K643" i="5" s="1"/>
  <c r="M643" i="5" s="1"/>
  <c r="O643" i="5" s="1"/>
  <c r="I597" i="5"/>
  <c r="K597" i="5" s="1"/>
  <c r="M597" i="5" s="1"/>
  <c r="O597" i="5" s="1"/>
  <c r="G596" i="5"/>
  <c r="I596" i="5" s="1"/>
  <c r="K596" i="5" s="1"/>
  <c r="M596" i="5" s="1"/>
  <c r="O596" i="5" s="1"/>
  <c r="I611" i="5"/>
  <c r="K611" i="5" s="1"/>
  <c r="M611" i="5" s="1"/>
  <c r="O611" i="5" s="1"/>
  <c r="G610" i="5"/>
  <c r="G604" i="5"/>
  <c r="I605" i="5"/>
  <c r="K605" i="5" s="1"/>
  <c r="M605" i="5" s="1"/>
  <c r="O605" i="5" s="1"/>
  <c r="G621" i="5"/>
  <c r="I622" i="5"/>
  <c r="K622" i="5" s="1"/>
  <c r="M622" i="5" s="1"/>
  <c r="O622" i="5" s="1"/>
  <c r="G672" i="5"/>
  <c r="G676" i="5"/>
  <c r="G680" i="5"/>
  <c r="G683" i="5"/>
  <c r="G691" i="5"/>
  <c r="G696" i="5"/>
  <c r="G700" i="5"/>
  <c r="G703" i="5"/>
  <c r="G706" i="5"/>
  <c r="G712" i="5"/>
  <c r="G716" i="5"/>
  <c r="A697" i="5"/>
  <c r="A681" i="5"/>
  <c r="A704" i="5"/>
  <c r="A711" i="5"/>
  <c r="A691" i="5"/>
  <c r="A680" i="5"/>
  <c r="A723" i="5"/>
  <c r="A695" i="5"/>
  <c r="A678" i="5"/>
  <c r="A674" i="5"/>
  <c r="A690" i="5"/>
  <c r="A673" i="5"/>
  <c r="A709" i="5"/>
  <c r="A724" i="5"/>
  <c r="A705" i="5"/>
  <c r="A717" i="5"/>
  <c r="A700" i="5"/>
  <c r="A676" i="5"/>
  <c r="A713" i="5"/>
  <c r="A721" i="5"/>
  <c r="A716" i="5"/>
  <c r="A718" i="5"/>
  <c r="A677" i="5"/>
  <c r="A714" i="5"/>
  <c r="A719" i="5"/>
  <c r="A683" i="5"/>
  <c r="A701" i="5"/>
  <c r="A694" i="5"/>
  <c r="A692" i="5"/>
  <c r="A693" i="5"/>
  <c r="A715" i="5"/>
  <c r="A702" i="5"/>
  <c r="A699" i="5"/>
  <c r="A684" i="5"/>
  <c r="A720" i="5"/>
  <c r="A722" i="5"/>
  <c r="A696" i="5"/>
  <c r="A706" i="5"/>
  <c r="A707" i="5"/>
  <c r="A679" i="5"/>
  <c r="A698" i="5"/>
  <c r="A703" i="5"/>
  <c r="A712" i="5"/>
  <c r="A710" i="5"/>
  <c r="A689" i="5"/>
  <c r="G715" i="5" l="1"/>
  <c r="I715" i="5" s="1"/>
  <c r="K715" i="5" s="1"/>
  <c r="M715" i="5" s="1"/>
  <c r="O715" i="5" s="1"/>
  <c r="I716" i="5"/>
  <c r="K716" i="5" s="1"/>
  <c r="M716" i="5" s="1"/>
  <c r="O716" i="5" s="1"/>
  <c r="G679" i="5"/>
  <c r="I679" i="5" s="1"/>
  <c r="K679" i="5" s="1"/>
  <c r="M679" i="5" s="1"/>
  <c r="O679" i="5" s="1"/>
  <c r="I680" i="5"/>
  <c r="K680" i="5" s="1"/>
  <c r="M680" i="5" s="1"/>
  <c r="O680" i="5" s="1"/>
  <c r="G636" i="5"/>
  <c r="I636" i="5" s="1"/>
  <c r="K636" i="5" s="1"/>
  <c r="M636" i="5" s="1"/>
  <c r="O636" i="5" s="1"/>
  <c r="I642" i="5"/>
  <c r="K642" i="5" s="1"/>
  <c r="M642" i="5" s="1"/>
  <c r="O642" i="5" s="1"/>
  <c r="G711" i="5"/>
  <c r="I711" i="5" s="1"/>
  <c r="K711" i="5" s="1"/>
  <c r="M711" i="5" s="1"/>
  <c r="O711" i="5" s="1"/>
  <c r="I712" i="5"/>
  <c r="K712" i="5" s="1"/>
  <c r="M712" i="5" s="1"/>
  <c r="O712" i="5" s="1"/>
  <c r="G675" i="5"/>
  <c r="I675" i="5" s="1"/>
  <c r="K675" i="5" s="1"/>
  <c r="M675" i="5" s="1"/>
  <c r="O675" i="5" s="1"/>
  <c r="I676" i="5"/>
  <c r="K676" i="5" s="1"/>
  <c r="M676" i="5" s="1"/>
  <c r="O676" i="5" s="1"/>
  <c r="G682" i="5"/>
  <c r="I682" i="5" s="1"/>
  <c r="K682" i="5" s="1"/>
  <c r="M682" i="5" s="1"/>
  <c r="O682" i="5" s="1"/>
  <c r="I683" i="5"/>
  <c r="K683" i="5" s="1"/>
  <c r="M683" i="5" s="1"/>
  <c r="O683" i="5" s="1"/>
  <c r="I610" i="5"/>
  <c r="K610" i="5" s="1"/>
  <c r="M610" i="5" s="1"/>
  <c r="O610" i="5" s="1"/>
  <c r="G690" i="5"/>
  <c r="I691" i="5"/>
  <c r="K691" i="5" s="1"/>
  <c r="M691" i="5" s="1"/>
  <c r="O691" i="5" s="1"/>
  <c r="G671" i="5"/>
  <c r="I672" i="5"/>
  <c r="K672" i="5" s="1"/>
  <c r="M672" i="5" s="1"/>
  <c r="O672" i="5" s="1"/>
  <c r="G603" i="5"/>
  <c r="I604" i="5"/>
  <c r="K604" i="5" s="1"/>
  <c r="M604" i="5" s="1"/>
  <c r="O604" i="5" s="1"/>
  <c r="G663" i="5"/>
  <c r="I664" i="5"/>
  <c r="K664" i="5" s="1"/>
  <c r="M664" i="5" s="1"/>
  <c r="O664" i="5" s="1"/>
  <c r="G699" i="5"/>
  <c r="I699" i="5" s="1"/>
  <c r="K699" i="5" s="1"/>
  <c r="M699" i="5" s="1"/>
  <c r="O699" i="5" s="1"/>
  <c r="I700" i="5"/>
  <c r="K700" i="5" s="1"/>
  <c r="M700" i="5" s="1"/>
  <c r="O700" i="5" s="1"/>
  <c r="G705" i="5"/>
  <c r="I705" i="5" s="1"/>
  <c r="K705" i="5" s="1"/>
  <c r="M705" i="5" s="1"/>
  <c r="O705" i="5" s="1"/>
  <c r="I706" i="5"/>
  <c r="K706" i="5" s="1"/>
  <c r="M706" i="5" s="1"/>
  <c r="O706" i="5" s="1"/>
  <c r="G695" i="5"/>
  <c r="I695" i="5" s="1"/>
  <c r="K695" i="5" s="1"/>
  <c r="M695" i="5" s="1"/>
  <c r="O695" i="5" s="1"/>
  <c r="I696" i="5"/>
  <c r="K696" i="5" s="1"/>
  <c r="M696" i="5" s="1"/>
  <c r="O696" i="5" s="1"/>
  <c r="G702" i="5"/>
  <c r="I702" i="5" s="1"/>
  <c r="K702" i="5" s="1"/>
  <c r="M702" i="5" s="1"/>
  <c r="O702" i="5" s="1"/>
  <c r="I703" i="5"/>
  <c r="K703" i="5" s="1"/>
  <c r="M703" i="5" s="1"/>
  <c r="O703" i="5" s="1"/>
  <c r="I621" i="5"/>
  <c r="K621" i="5" s="1"/>
  <c r="M621" i="5" s="1"/>
  <c r="O621" i="5" s="1"/>
  <c r="G620" i="5"/>
  <c r="A725" i="5"/>
  <c r="A726" i="5"/>
  <c r="G710" i="5" l="1"/>
  <c r="I710" i="5" s="1"/>
  <c r="K710" i="5" s="1"/>
  <c r="M710" i="5" s="1"/>
  <c r="O710" i="5" s="1"/>
  <c r="G674" i="5"/>
  <c r="I674" i="5" s="1"/>
  <c r="K674" i="5" s="1"/>
  <c r="M674" i="5" s="1"/>
  <c r="O674" i="5" s="1"/>
  <c r="I603" i="5"/>
  <c r="K603" i="5" s="1"/>
  <c r="M603" i="5" s="1"/>
  <c r="O603" i="5" s="1"/>
  <c r="G602" i="5"/>
  <c r="G689" i="5"/>
  <c r="I689" i="5" s="1"/>
  <c r="K689" i="5" s="1"/>
  <c r="M689" i="5" s="1"/>
  <c r="O689" i="5" s="1"/>
  <c r="I690" i="5"/>
  <c r="K690" i="5" s="1"/>
  <c r="M690" i="5" s="1"/>
  <c r="O690" i="5" s="1"/>
  <c r="G662" i="5"/>
  <c r="I662" i="5" s="1"/>
  <c r="K662" i="5" s="1"/>
  <c r="M662" i="5" s="1"/>
  <c r="O662" i="5" s="1"/>
  <c r="I663" i="5"/>
  <c r="K663" i="5" s="1"/>
  <c r="M663" i="5" s="1"/>
  <c r="O663" i="5" s="1"/>
  <c r="G670" i="5"/>
  <c r="I671" i="5"/>
  <c r="K671" i="5" s="1"/>
  <c r="M671" i="5" s="1"/>
  <c r="O671" i="5" s="1"/>
  <c r="G694" i="5"/>
  <c r="G619" i="5"/>
  <c r="I619" i="5" s="1"/>
  <c r="K619" i="5" s="1"/>
  <c r="M619" i="5" s="1"/>
  <c r="O619" i="5" s="1"/>
  <c r="I620" i="5"/>
  <c r="K620" i="5" s="1"/>
  <c r="M620" i="5" s="1"/>
  <c r="O620" i="5" s="1"/>
  <c r="G722" i="5"/>
  <c r="G726" i="5"/>
  <c r="A729" i="5"/>
  <c r="A730" i="5"/>
  <c r="A728" i="5"/>
  <c r="A727" i="5"/>
  <c r="G721" i="5" l="1"/>
  <c r="I721" i="5" s="1"/>
  <c r="K721" i="5" s="1"/>
  <c r="M721" i="5" s="1"/>
  <c r="O721" i="5" s="1"/>
  <c r="I722" i="5"/>
  <c r="K722" i="5" s="1"/>
  <c r="M722" i="5" s="1"/>
  <c r="O722" i="5" s="1"/>
  <c r="I602" i="5"/>
  <c r="K602" i="5" s="1"/>
  <c r="M602" i="5" s="1"/>
  <c r="O602" i="5" s="1"/>
  <c r="G489" i="5"/>
  <c r="I489" i="5" s="1"/>
  <c r="K489" i="5" s="1"/>
  <c r="M489" i="5" s="1"/>
  <c r="O489" i="5" s="1"/>
  <c r="G669" i="5"/>
  <c r="I670" i="5"/>
  <c r="K670" i="5" s="1"/>
  <c r="M670" i="5" s="1"/>
  <c r="O670" i="5" s="1"/>
  <c r="G725" i="5"/>
  <c r="I725" i="5" s="1"/>
  <c r="K725" i="5" s="1"/>
  <c r="M725" i="5" s="1"/>
  <c r="O725" i="5" s="1"/>
  <c r="I726" i="5"/>
  <c r="K726" i="5" s="1"/>
  <c r="M726" i="5" s="1"/>
  <c r="O726" i="5" s="1"/>
  <c r="G693" i="5"/>
  <c r="I694" i="5"/>
  <c r="K694" i="5" s="1"/>
  <c r="M694" i="5" s="1"/>
  <c r="O694" i="5" s="1"/>
  <c r="G730" i="5"/>
  <c r="G734" i="5"/>
  <c r="G739" i="5"/>
  <c r="G746" i="5"/>
  <c r="G751" i="5"/>
  <c r="G755" i="5"/>
  <c r="G758" i="5"/>
  <c r="G772" i="5"/>
  <c r="G777" i="5"/>
  <c r="G780" i="5"/>
  <c r="G783" i="5"/>
  <c r="G786" i="5"/>
  <c r="A745" i="5"/>
  <c r="A742" i="5"/>
  <c r="A801" i="5"/>
  <c r="A778" i="5"/>
  <c r="A733" i="5"/>
  <c r="A754" i="5"/>
  <c r="A732" i="5"/>
  <c r="A739" i="5"/>
  <c r="A744" i="5"/>
  <c r="A750" i="5"/>
  <c r="A756" i="5"/>
  <c r="A759" i="5"/>
  <c r="A803" i="5"/>
  <c r="A781" i="5"/>
  <c r="A735" i="5"/>
  <c r="A772" i="5"/>
  <c r="A757" i="5"/>
  <c r="A777" i="5"/>
  <c r="A775" i="5"/>
  <c r="A740" i="5"/>
  <c r="A783" i="5"/>
  <c r="A751" i="5"/>
  <c r="A785" i="5"/>
  <c r="A799" i="5"/>
  <c r="A779" i="5"/>
  <c r="A731" i="5"/>
  <c r="A802" i="5"/>
  <c r="A784" i="5"/>
  <c r="A758" i="5"/>
  <c r="A773" i="5"/>
  <c r="A798" i="5"/>
  <c r="A736" i="5"/>
  <c r="A786" i="5"/>
  <c r="A747" i="5"/>
  <c r="A782" i="5"/>
  <c r="A787" i="5"/>
  <c r="A780" i="5"/>
  <c r="A776" i="5"/>
  <c r="A738" i="5"/>
  <c r="A748" i="5"/>
  <c r="A753" i="5"/>
  <c r="A749" i="5"/>
  <c r="A770" i="5"/>
  <c r="A755" i="5"/>
  <c r="A741" i="5"/>
  <c r="A752" i="5"/>
  <c r="A800" i="5"/>
  <c r="A746" i="5"/>
  <c r="A743" i="5"/>
  <c r="A734" i="5"/>
  <c r="A771" i="5"/>
  <c r="A774" i="5"/>
  <c r="G776" i="5" l="1"/>
  <c r="I776" i="5" s="1"/>
  <c r="K776" i="5" s="1"/>
  <c r="M776" i="5" s="1"/>
  <c r="O776" i="5" s="1"/>
  <c r="I777" i="5"/>
  <c r="K777" i="5" s="1"/>
  <c r="M777" i="5" s="1"/>
  <c r="O777" i="5" s="1"/>
  <c r="G750" i="5"/>
  <c r="I751" i="5"/>
  <c r="K751" i="5" s="1"/>
  <c r="M751" i="5" s="1"/>
  <c r="O751" i="5" s="1"/>
  <c r="G729" i="5"/>
  <c r="I729" i="5" s="1"/>
  <c r="K729" i="5" s="1"/>
  <c r="M729" i="5" s="1"/>
  <c r="O729" i="5" s="1"/>
  <c r="I730" i="5"/>
  <c r="K730" i="5" s="1"/>
  <c r="M730" i="5" s="1"/>
  <c r="O730" i="5" s="1"/>
  <c r="G771" i="5"/>
  <c r="I772" i="5"/>
  <c r="K772" i="5" s="1"/>
  <c r="M772" i="5" s="1"/>
  <c r="O772" i="5" s="1"/>
  <c r="G745" i="5"/>
  <c r="I746" i="5"/>
  <c r="K746" i="5" s="1"/>
  <c r="M746" i="5" s="1"/>
  <c r="O746" i="5" s="1"/>
  <c r="G720" i="5"/>
  <c r="I720" i="5" s="1"/>
  <c r="K720" i="5" s="1"/>
  <c r="M720" i="5" s="1"/>
  <c r="O720" i="5" s="1"/>
  <c r="G757" i="5"/>
  <c r="I757" i="5" s="1"/>
  <c r="K757" i="5" s="1"/>
  <c r="M757" i="5" s="1"/>
  <c r="O757" i="5" s="1"/>
  <c r="I758" i="5"/>
  <c r="K758" i="5" s="1"/>
  <c r="M758" i="5" s="1"/>
  <c r="O758" i="5" s="1"/>
  <c r="G738" i="5"/>
  <c r="I738" i="5" s="1"/>
  <c r="K738" i="5" s="1"/>
  <c r="M738" i="5" s="1"/>
  <c r="O738" i="5" s="1"/>
  <c r="I739" i="5"/>
  <c r="K739" i="5" s="1"/>
  <c r="M739" i="5" s="1"/>
  <c r="O739" i="5" s="1"/>
  <c r="G754" i="5"/>
  <c r="I754" i="5" s="1"/>
  <c r="K754" i="5" s="1"/>
  <c r="M754" i="5" s="1"/>
  <c r="O754" i="5" s="1"/>
  <c r="I755" i="5"/>
  <c r="K755" i="5" s="1"/>
  <c r="M755" i="5" s="1"/>
  <c r="O755" i="5" s="1"/>
  <c r="G733" i="5"/>
  <c r="I733" i="5" s="1"/>
  <c r="K733" i="5" s="1"/>
  <c r="M733" i="5" s="1"/>
  <c r="O733" i="5" s="1"/>
  <c r="I734" i="5"/>
  <c r="K734" i="5" s="1"/>
  <c r="M734" i="5" s="1"/>
  <c r="O734" i="5" s="1"/>
  <c r="G668" i="5"/>
  <c r="I669" i="5"/>
  <c r="K669" i="5" s="1"/>
  <c r="M669" i="5" s="1"/>
  <c r="O669" i="5" s="1"/>
  <c r="G779" i="5"/>
  <c r="I779" i="5" s="1"/>
  <c r="K779" i="5" s="1"/>
  <c r="M779" i="5" s="1"/>
  <c r="O779" i="5" s="1"/>
  <c r="I780" i="5"/>
  <c r="K780" i="5" s="1"/>
  <c r="M780" i="5" s="1"/>
  <c r="O780" i="5" s="1"/>
  <c r="G785" i="5"/>
  <c r="I785" i="5" s="1"/>
  <c r="K785" i="5" s="1"/>
  <c r="M785" i="5" s="1"/>
  <c r="O785" i="5" s="1"/>
  <c r="I786" i="5"/>
  <c r="K786" i="5" s="1"/>
  <c r="M786" i="5" s="1"/>
  <c r="O786" i="5" s="1"/>
  <c r="G782" i="5"/>
  <c r="I782" i="5" s="1"/>
  <c r="K782" i="5" s="1"/>
  <c r="M782" i="5" s="1"/>
  <c r="O782" i="5" s="1"/>
  <c r="I783" i="5"/>
  <c r="K783" i="5" s="1"/>
  <c r="M783" i="5" s="1"/>
  <c r="O783" i="5" s="1"/>
  <c r="I693" i="5"/>
  <c r="K693" i="5" s="1"/>
  <c r="M693" i="5" s="1"/>
  <c r="O693" i="5" s="1"/>
  <c r="A805" i="5"/>
  <c r="A804" i="5"/>
  <c r="G753" i="5" l="1"/>
  <c r="I753" i="5" s="1"/>
  <c r="K753" i="5" s="1"/>
  <c r="M753" i="5" s="1"/>
  <c r="O753" i="5" s="1"/>
  <c r="G744" i="5"/>
  <c r="I745" i="5"/>
  <c r="K745" i="5" s="1"/>
  <c r="M745" i="5" s="1"/>
  <c r="O745" i="5" s="1"/>
  <c r="G719" i="5"/>
  <c r="I719" i="5" s="1"/>
  <c r="K719" i="5" s="1"/>
  <c r="M719" i="5" s="1"/>
  <c r="O719" i="5" s="1"/>
  <c r="I668" i="5"/>
  <c r="K668" i="5" s="1"/>
  <c r="M668" i="5" s="1"/>
  <c r="O668" i="5" s="1"/>
  <c r="G635" i="5"/>
  <c r="G770" i="5"/>
  <c r="I770" i="5" s="1"/>
  <c r="K770" i="5" s="1"/>
  <c r="M770" i="5" s="1"/>
  <c r="O770" i="5" s="1"/>
  <c r="I771" i="5"/>
  <c r="K771" i="5" s="1"/>
  <c r="M771" i="5" s="1"/>
  <c r="O771" i="5" s="1"/>
  <c r="G749" i="5"/>
  <c r="I750" i="5"/>
  <c r="K750" i="5" s="1"/>
  <c r="M750" i="5" s="1"/>
  <c r="O750" i="5" s="1"/>
  <c r="G775" i="5"/>
  <c r="G801" i="5"/>
  <c r="G805" i="5"/>
  <c r="A808" i="5"/>
  <c r="A807" i="5"/>
  <c r="A806" i="5"/>
  <c r="G804" i="5" l="1"/>
  <c r="I804" i="5" s="1"/>
  <c r="K804" i="5" s="1"/>
  <c r="M804" i="5" s="1"/>
  <c r="O804" i="5" s="1"/>
  <c r="I805" i="5"/>
  <c r="K805" i="5" s="1"/>
  <c r="M805" i="5" s="1"/>
  <c r="O805" i="5" s="1"/>
  <c r="I635" i="5"/>
  <c r="K635" i="5" s="1"/>
  <c r="M635" i="5" s="1"/>
  <c r="O635" i="5" s="1"/>
  <c r="G634" i="5"/>
  <c r="I634" i="5" s="1"/>
  <c r="K634" i="5" s="1"/>
  <c r="M634" i="5" s="1"/>
  <c r="O634" i="5" s="1"/>
  <c r="G743" i="5"/>
  <c r="I744" i="5"/>
  <c r="K744" i="5" s="1"/>
  <c r="M744" i="5" s="1"/>
  <c r="O744" i="5" s="1"/>
  <c r="G800" i="5"/>
  <c r="I800" i="5" s="1"/>
  <c r="K800" i="5" s="1"/>
  <c r="M800" i="5" s="1"/>
  <c r="O800" i="5" s="1"/>
  <c r="I801" i="5"/>
  <c r="K801" i="5" s="1"/>
  <c r="M801" i="5" s="1"/>
  <c r="O801" i="5" s="1"/>
  <c r="G748" i="5"/>
  <c r="I748" i="5" s="1"/>
  <c r="K748" i="5" s="1"/>
  <c r="M748" i="5" s="1"/>
  <c r="O748" i="5" s="1"/>
  <c r="I749" i="5"/>
  <c r="K749" i="5" s="1"/>
  <c r="M749" i="5" s="1"/>
  <c r="O749" i="5" s="1"/>
  <c r="G774" i="5"/>
  <c r="I774" i="5" s="1"/>
  <c r="K774" i="5" s="1"/>
  <c r="M774" i="5" s="1"/>
  <c r="O774" i="5" s="1"/>
  <c r="I775" i="5"/>
  <c r="K775" i="5" s="1"/>
  <c r="M775" i="5" s="1"/>
  <c r="O775" i="5" s="1"/>
  <c r="G808" i="5"/>
  <c r="G819" i="5"/>
  <c r="G829" i="5"/>
  <c r="G835" i="5"/>
  <c r="G840" i="5"/>
  <c r="G845" i="5"/>
  <c r="G849" i="5"/>
  <c r="G852" i="5"/>
  <c r="I852" i="5" s="1"/>
  <c r="K852" i="5" s="1"/>
  <c r="M852" i="5" s="1"/>
  <c r="O852" i="5" s="1"/>
  <c r="A817" i="5"/>
  <c r="A813" i="5"/>
  <c r="A823" i="5"/>
  <c r="A809" i="5"/>
  <c r="A816" i="5"/>
  <c r="A814" i="5"/>
  <c r="A846" i="5"/>
  <c r="A831" i="5"/>
  <c r="A847" i="5"/>
  <c r="A834" i="5"/>
  <c r="A833" i="5"/>
  <c r="A838" i="5"/>
  <c r="A819" i="5"/>
  <c r="A830" i="5"/>
  <c r="A835" i="5"/>
  <c r="A820" i="5"/>
  <c r="A854" i="5"/>
  <c r="A851" i="5"/>
  <c r="A843" i="5"/>
  <c r="A852" i="5"/>
  <c r="A849" i="5"/>
  <c r="A840" i="5"/>
  <c r="A822" i="5"/>
  <c r="A844" i="5"/>
  <c r="A836" i="5"/>
  <c r="A839" i="5"/>
  <c r="A815" i="5"/>
  <c r="A845" i="5"/>
  <c r="A853" i="5"/>
  <c r="A828" i="5"/>
  <c r="A832" i="5"/>
  <c r="A829" i="5"/>
  <c r="A841" i="5"/>
  <c r="A850" i="5"/>
  <c r="A848" i="5"/>
  <c r="A818" i="5"/>
  <c r="G844" i="5" l="1"/>
  <c r="I844" i="5" s="1"/>
  <c r="K844" i="5" s="1"/>
  <c r="M844" i="5" s="1"/>
  <c r="O844" i="5" s="1"/>
  <c r="I845" i="5"/>
  <c r="K845" i="5" s="1"/>
  <c r="M845" i="5" s="1"/>
  <c r="O845" i="5" s="1"/>
  <c r="G818" i="5"/>
  <c r="I819" i="5"/>
  <c r="K819" i="5" s="1"/>
  <c r="M819" i="5" s="1"/>
  <c r="O819" i="5" s="1"/>
  <c r="G807" i="5"/>
  <c r="I808" i="5"/>
  <c r="K808" i="5" s="1"/>
  <c r="M808" i="5" s="1"/>
  <c r="O808" i="5" s="1"/>
  <c r="I743" i="5"/>
  <c r="K743" i="5" s="1"/>
  <c r="M743" i="5" s="1"/>
  <c r="O743" i="5" s="1"/>
  <c r="G742" i="5"/>
  <c r="G848" i="5"/>
  <c r="I849" i="5"/>
  <c r="K849" i="5" s="1"/>
  <c r="M849" i="5" s="1"/>
  <c r="O849" i="5" s="1"/>
  <c r="G828" i="5"/>
  <c r="I829" i="5"/>
  <c r="K829" i="5" s="1"/>
  <c r="M829" i="5" s="1"/>
  <c r="O829" i="5" s="1"/>
  <c r="G839" i="5"/>
  <c r="I840" i="5"/>
  <c r="K840" i="5" s="1"/>
  <c r="M840" i="5" s="1"/>
  <c r="O840" i="5" s="1"/>
  <c r="G834" i="5"/>
  <c r="I835" i="5"/>
  <c r="K835" i="5" s="1"/>
  <c r="M835" i="5" s="1"/>
  <c r="O835" i="5" s="1"/>
  <c r="G854" i="5"/>
  <c r="I854" i="5" s="1"/>
  <c r="K854" i="5" s="1"/>
  <c r="M854" i="5" s="1"/>
  <c r="O854" i="5" s="1"/>
  <c r="A856" i="5"/>
  <c r="A855" i="5"/>
  <c r="G817" i="5" l="1"/>
  <c r="I817" i="5" s="1"/>
  <c r="K817" i="5" s="1"/>
  <c r="M817" i="5" s="1"/>
  <c r="O817" i="5" s="1"/>
  <c r="I818" i="5"/>
  <c r="K818" i="5" s="1"/>
  <c r="M818" i="5" s="1"/>
  <c r="O818" i="5" s="1"/>
  <c r="I742" i="5"/>
  <c r="K742" i="5" s="1"/>
  <c r="M742" i="5" s="1"/>
  <c r="O742" i="5" s="1"/>
  <c r="G709" i="5"/>
  <c r="G799" i="5"/>
  <c r="I807" i="5"/>
  <c r="K807" i="5" s="1"/>
  <c r="M807" i="5" s="1"/>
  <c r="O807" i="5" s="1"/>
  <c r="G847" i="5"/>
  <c r="I847" i="5" s="1"/>
  <c r="K847" i="5" s="1"/>
  <c r="M847" i="5" s="1"/>
  <c r="O847" i="5" s="1"/>
  <c r="I848" i="5"/>
  <c r="K848" i="5" s="1"/>
  <c r="M848" i="5" s="1"/>
  <c r="O848" i="5" s="1"/>
  <c r="G833" i="5"/>
  <c r="I834" i="5"/>
  <c r="K834" i="5" s="1"/>
  <c r="M834" i="5" s="1"/>
  <c r="O834" i="5" s="1"/>
  <c r="G823" i="5"/>
  <c r="I828" i="5"/>
  <c r="K828" i="5" s="1"/>
  <c r="M828" i="5" s="1"/>
  <c r="O828" i="5" s="1"/>
  <c r="G838" i="5"/>
  <c r="I838" i="5" s="1"/>
  <c r="K838" i="5" s="1"/>
  <c r="M838" i="5" s="1"/>
  <c r="O838" i="5" s="1"/>
  <c r="I839" i="5"/>
  <c r="K839" i="5" s="1"/>
  <c r="M839" i="5" s="1"/>
  <c r="O839" i="5" s="1"/>
  <c r="G856" i="5"/>
  <c r="G860" i="5"/>
  <c r="I860" i="5" s="1"/>
  <c r="K860" i="5" s="1"/>
  <c r="M860" i="5" s="1"/>
  <c r="O860" i="5" s="1"/>
  <c r="A862" i="5"/>
  <c r="A861" i="5"/>
  <c r="A857" i="5"/>
  <c r="A859" i="5"/>
  <c r="A858" i="5"/>
  <c r="A860" i="5"/>
  <c r="G798" i="5" l="1"/>
  <c r="I799" i="5"/>
  <c r="K799" i="5" s="1"/>
  <c r="M799" i="5" s="1"/>
  <c r="O799" i="5" s="1"/>
  <c r="I709" i="5"/>
  <c r="K709" i="5" s="1"/>
  <c r="M709" i="5" s="1"/>
  <c r="O709" i="5" s="1"/>
  <c r="G708" i="5"/>
  <c r="I708" i="5" s="1"/>
  <c r="K708" i="5" s="1"/>
  <c r="M708" i="5" s="1"/>
  <c r="O708" i="5" s="1"/>
  <c r="G851" i="5"/>
  <c r="I851" i="5" s="1"/>
  <c r="K851" i="5" s="1"/>
  <c r="M851" i="5" s="1"/>
  <c r="O851" i="5" s="1"/>
  <c r="I856" i="5"/>
  <c r="K856" i="5" s="1"/>
  <c r="M856" i="5" s="1"/>
  <c r="O856" i="5" s="1"/>
  <c r="I823" i="5"/>
  <c r="K823" i="5" s="1"/>
  <c r="M823" i="5" s="1"/>
  <c r="O823" i="5" s="1"/>
  <c r="G832" i="5"/>
  <c r="I832" i="5" s="1"/>
  <c r="K832" i="5" s="1"/>
  <c r="M832" i="5" s="1"/>
  <c r="O832" i="5" s="1"/>
  <c r="I833" i="5"/>
  <c r="K833" i="5" s="1"/>
  <c r="M833" i="5" s="1"/>
  <c r="O833" i="5" s="1"/>
  <c r="G862" i="5"/>
  <c r="G871" i="5"/>
  <c r="G874" i="5"/>
  <c r="G881" i="5"/>
  <c r="G886" i="5"/>
  <c r="G892" i="5"/>
  <c r="G902" i="5"/>
  <c r="I902" i="5" s="1"/>
  <c r="K902" i="5" s="1"/>
  <c r="M902" i="5" s="1"/>
  <c r="O902" i="5" s="1"/>
  <c r="A891" i="5"/>
  <c r="A874" i="5"/>
  <c r="A890" i="5"/>
  <c r="A871" i="5"/>
  <c r="A870" i="5"/>
  <c r="A878" i="5"/>
  <c r="A887" i="5"/>
  <c r="A893" i="5"/>
  <c r="A889" i="5"/>
  <c r="A881" i="5"/>
  <c r="A875" i="5"/>
  <c r="A888" i="5"/>
  <c r="A882" i="5"/>
  <c r="A883" i="5"/>
  <c r="A892" i="5"/>
  <c r="A877" i="5"/>
  <c r="A872" i="5"/>
  <c r="A895" i="5"/>
  <c r="A869" i="5"/>
  <c r="A898" i="5"/>
  <c r="A863" i="5"/>
  <c r="A901" i="5"/>
  <c r="A873" i="5"/>
  <c r="A868" i="5"/>
  <c r="A903" i="5"/>
  <c r="A867" i="5"/>
  <c r="A894" i="5"/>
  <c r="A879" i="5"/>
  <c r="A897" i="5"/>
  <c r="A886" i="5"/>
  <c r="A900" i="5"/>
  <c r="A885" i="5"/>
  <c r="A902" i="5"/>
  <c r="A866" i="5"/>
  <c r="A864" i="5"/>
  <c r="A880" i="5"/>
  <c r="A884" i="5"/>
  <c r="A899" i="5"/>
  <c r="G822" i="5" l="1"/>
  <c r="G821" i="5" s="1"/>
  <c r="I821" i="5" s="1"/>
  <c r="K821" i="5" s="1"/>
  <c r="M821" i="5" s="1"/>
  <c r="O821" i="5" s="1"/>
  <c r="G885" i="5"/>
  <c r="I886" i="5"/>
  <c r="K886" i="5" s="1"/>
  <c r="M886" i="5" s="1"/>
  <c r="O886" i="5" s="1"/>
  <c r="G859" i="5"/>
  <c r="I862" i="5"/>
  <c r="K862" i="5" s="1"/>
  <c r="M862" i="5" s="1"/>
  <c r="O862" i="5" s="1"/>
  <c r="G891" i="5"/>
  <c r="I892" i="5"/>
  <c r="K892" i="5" s="1"/>
  <c r="M892" i="5" s="1"/>
  <c r="O892" i="5" s="1"/>
  <c r="G870" i="5"/>
  <c r="I870" i="5" s="1"/>
  <c r="K870" i="5" s="1"/>
  <c r="M870" i="5" s="1"/>
  <c r="O870" i="5" s="1"/>
  <c r="I871" i="5"/>
  <c r="K871" i="5" s="1"/>
  <c r="M871" i="5" s="1"/>
  <c r="O871" i="5" s="1"/>
  <c r="G880" i="5"/>
  <c r="I881" i="5"/>
  <c r="K881" i="5" s="1"/>
  <c r="M881" i="5" s="1"/>
  <c r="O881" i="5" s="1"/>
  <c r="G873" i="5"/>
  <c r="I873" i="5" s="1"/>
  <c r="K873" i="5" s="1"/>
  <c r="M873" i="5" s="1"/>
  <c r="O873" i="5" s="1"/>
  <c r="I874" i="5"/>
  <c r="K874" i="5" s="1"/>
  <c r="M874" i="5" s="1"/>
  <c r="O874" i="5" s="1"/>
  <c r="I798" i="5"/>
  <c r="K798" i="5" s="1"/>
  <c r="M798" i="5" s="1"/>
  <c r="O798" i="5" s="1"/>
  <c r="G797" i="5"/>
  <c r="I797" i="5" s="1"/>
  <c r="K797" i="5" s="1"/>
  <c r="M797" i="5" s="1"/>
  <c r="O797" i="5" s="1"/>
  <c r="G901" i="5"/>
  <c r="I901" i="5" s="1"/>
  <c r="K901" i="5" s="1"/>
  <c r="M901" i="5" s="1"/>
  <c r="O901" i="5" s="1"/>
  <c r="G903" i="5"/>
  <c r="I903" i="5" s="1"/>
  <c r="K903" i="5" s="1"/>
  <c r="M903" i="5" s="1"/>
  <c r="O903" i="5" s="1"/>
  <c r="A906" i="5"/>
  <c r="A904" i="5"/>
  <c r="A905" i="5"/>
  <c r="I822" i="5" l="1"/>
  <c r="K822" i="5" s="1"/>
  <c r="M822" i="5" s="1"/>
  <c r="O822" i="5" s="1"/>
  <c r="G869" i="5"/>
  <c r="G868" i="5" s="1"/>
  <c r="G858" i="5"/>
  <c r="I859" i="5"/>
  <c r="K859" i="5" s="1"/>
  <c r="M859" i="5" s="1"/>
  <c r="O859" i="5" s="1"/>
  <c r="G879" i="5"/>
  <c r="I880" i="5"/>
  <c r="K880" i="5" s="1"/>
  <c r="M880" i="5" s="1"/>
  <c r="O880" i="5" s="1"/>
  <c r="G890" i="5"/>
  <c r="I891" i="5"/>
  <c r="K891" i="5" s="1"/>
  <c r="M891" i="5" s="1"/>
  <c r="O891" i="5" s="1"/>
  <c r="G884" i="5"/>
  <c r="I885" i="5"/>
  <c r="K885" i="5" s="1"/>
  <c r="M885" i="5" s="1"/>
  <c r="O885" i="5" s="1"/>
  <c r="G900" i="5"/>
  <c r="I900" i="5" s="1"/>
  <c r="K900" i="5" s="1"/>
  <c r="M900" i="5" s="1"/>
  <c r="O900" i="5" s="1"/>
  <c r="G906" i="5"/>
  <c r="G911" i="5"/>
  <c r="I911" i="5" s="1"/>
  <c r="K911" i="5" s="1"/>
  <c r="M911" i="5" s="1"/>
  <c r="O911" i="5" s="1"/>
  <c r="A912" i="5"/>
  <c r="A909" i="5"/>
  <c r="A910" i="5"/>
  <c r="A911" i="5"/>
  <c r="A908" i="5"/>
  <c r="A907" i="5"/>
  <c r="I869" i="5" l="1"/>
  <c r="K869" i="5" s="1"/>
  <c r="M869" i="5" s="1"/>
  <c r="O869" i="5" s="1"/>
  <c r="G889" i="5"/>
  <c r="I890" i="5"/>
  <c r="K890" i="5" s="1"/>
  <c r="M890" i="5" s="1"/>
  <c r="O890" i="5" s="1"/>
  <c r="G843" i="5"/>
  <c r="I858" i="5"/>
  <c r="K858" i="5" s="1"/>
  <c r="M858" i="5" s="1"/>
  <c r="O858" i="5" s="1"/>
  <c r="G905" i="5"/>
  <c r="I905" i="5" s="1"/>
  <c r="K905" i="5" s="1"/>
  <c r="M905" i="5" s="1"/>
  <c r="O905" i="5" s="1"/>
  <c r="I906" i="5"/>
  <c r="K906" i="5" s="1"/>
  <c r="M906" i="5" s="1"/>
  <c r="O906" i="5" s="1"/>
  <c r="G883" i="5"/>
  <c r="I883" i="5" s="1"/>
  <c r="K883" i="5" s="1"/>
  <c r="M883" i="5" s="1"/>
  <c r="O883" i="5" s="1"/>
  <c r="I884" i="5"/>
  <c r="K884" i="5" s="1"/>
  <c r="M884" i="5" s="1"/>
  <c r="O884" i="5" s="1"/>
  <c r="G878" i="5"/>
  <c r="I879" i="5"/>
  <c r="K879" i="5" s="1"/>
  <c r="M879" i="5" s="1"/>
  <c r="O879" i="5" s="1"/>
  <c r="G867" i="5"/>
  <c r="I868" i="5"/>
  <c r="K868" i="5" s="1"/>
  <c r="M868" i="5" s="1"/>
  <c r="O868" i="5" s="1"/>
  <c r="F1457" i="6"/>
  <c r="G910" i="5"/>
  <c r="I910" i="5" s="1"/>
  <c r="K910" i="5" s="1"/>
  <c r="M910" i="5" s="1"/>
  <c r="O910" i="5" s="1"/>
  <c r="G912" i="5"/>
  <c r="I912" i="5" s="1"/>
  <c r="K912" i="5" s="1"/>
  <c r="M912" i="5" s="1"/>
  <c r="O912" i="5" s="1"/>
  <c r="A918" i="5"/>
  <c r="A916" i="5"/>
  <c r="A913" i="5"/>
  <c r="A915" i="5"/>
  <c r="A917" i="5"/>
  <c r="G899" i="5" l="1"/>
  <c r="I899" i="5" s="1"/>
  <c r="K899" i="5" s="1"/>
  <c r="M899" i="5" s="1"/>
  <c r="O899" i="5" s="1"/>
  <c r="G866" i="5"/>
  <c r="I867" i="5"/>
  <c r="K867" i="5" s="1"/>
  <c r="M867" i="5" s="1"/>
  <c r="O867" i="5" s="1"/>
  <c r="I843" i="5"/>
  <c r="K843" i="5" s="1"/>
  <c r="M843" i="5" s="1"/>
  <c r="O843" i="5" s="1"/>
  <c r="G842" i="5"/>
  <c r="I878" i="5"/>
  <c r="K878" i="5" s="1"/>
  <c r="M878" i="5" s="1"/>
  <c r="O878" i="5" s="1"/>
  <c r="G888" i="5"/>
  <c r="I888" i="5" s="1"/>
  <c r="K888" i="5" s="1"/>
  <c r="M888" i="5" s="1"/>
  <c r="O888" i="5" s="1"/>
  <c r="I889" i="5"/>
  <c r="K889" i="5" s="1"/>
  <c r="M889" i="5" s="1"/>
  <c r="O889" i="5" s="1"/>
  <c r="F1456" i="6"/>
  <c r="H1457" i="6"/>
  <c r="J1457" i="6" s="1"/>
  <c r="L1457" i="6" s="1"/>
  <c r="N1457" i="6" s="1"/>
  <c r="G909" i="5"/>
  <c r="G918" i="5"/>
  <c r="A919" i="5"/>
  <c r="G898" i="5" l="1"/>
  <c r="I898" i="5" s="1"/>
  <c r="K898" i="5" s="1"/>
  <c r="M898" i="5" s="1"/>
  <c r="O898" i="5" s="1"/>
  <c r="G877" i="5"/>
  <c r="G876" i="5" s="1"/>
  <c r="I876" i="5" s="1"/>
  <c r="K876" i="5" s="1"/>
  <c r="M876" i="5" s="1"/>
  <c r="O876" i="5" s="1"/>
  <c r="I842" i="5"/>
  <c r="K842" i="5" s="1"/>
  <c r="M842" i="5" s="1"/>
  <c r="O842" i="5" s="1"/>
  <c r="G633" i="5"/>
  <c r="G917" i="5"/>
  <c r="I918" i="5"/>
  <c r="K918" i="5" s="1"/>
  <c r="M918" i="5" s="1"/>
  <c r="O918" i="5" s="1"/>
  <c r="G908" i="5"/>
  <c r="I909" i="5"/>
  <c r="K909" i="5" s="1"/>
  <c r="M909" i="5" s="1"/>
  <c r="O909" i="5" s="1"/>
  <c r="G865" i="5"/>
  <c r="I866" i="5"/>
  <c r="K866" i="5" s="1"/>
  <c r="M866" i="5" s="1"/>
  <c r="O866" i="5" s="1"/>
  <c r="F1455" i="6"/>
  <c r="H1456" i="6"/>
  <c r="J1456" i="6" s="1"/>
  <c r="L1456" i="6" s="1"/>
  <c r="N1456" i="6" s="1"/>
  <c r="G924" i="5"/>
  <c r="G932" i="5"/>
  <c r="G936" i="5"/>
  <c r="G943" i="5"/>
  <c r="G951" i="5"/>
  <c r="G954" i="5"/>
  <c r="A954" i="5"/>
  <c r="A953" i="5"/>
  <c r="A925" i="5"/>
  <c r="A923" i="5"/>
  <c r="A941" i="5"/>
  <c r="A959" i="5"/>
  <c r="A930" i="5"/>
  <c r="A932" i="5"/>
  <c r="A943" i="5"/>
  <c r="A924" i="5"/>
  <c r="A951" i="5"/>
  <c r="A963" i="5"/>
  <c r="A928" i="5"/>
  <c r="A937" i="5"/>
  <c r="A942" i="5"/>
  <c r="A935" i="5"/>
  <c r="A962" i="5"/>
  <c r="A936" i="5"/>
  <c r="A931" i="5"/>
  <c r="A922" i="5"/>
  <c r="A964" i="5"/>
  <c r="A946" i="5"/>
  <c r="A933" i="5"/>
  <c r="A960" i="5"/>
  <c r="A945" i="5"/>
  <c r="A940" i="5"/>
  <c r="A955" i="5"/>
  <c r="A944" i="5"/>
  <c r="A965" i="5"/>
  <c r="A961" i="5"/>
  <c r="A950" i="5"/>
  <c r="A958" i="5"/>
  <c r="A929" i="5"/>
  <c r="A949" i="5"/>
  <c r="A934" i="5"/>
  <c r="A952" i="5"/>
  <c r="A938" i="5"/>
  <c r="A921" i="5"/>
  <c r="A926" i="5"/>
  <c r="A948" i="5"/>
  <c r="A956" i="5"/>
  <c r="I877" i="5" l="1"/>
  <c r="K877" i="5" s="1"/>
  <c r="M877" i="5" s="1"/>
  <c r="O877" i="5" s="1"/>
  <c r="G953" i="5"/>
  <c r="I953" i="5" s="1"/>
  <c r="K953" i="5" s="1"/>
  <c r="M953" i="5" s="1"/>
  <c r="O953" i="5" s="1"/>
  <c r="I954" i="5"/>
  <c r="K954" i="5" s="1"/>
  <c r="M954" i="5" s="1"/>
  <c r="O954" i="5" s="1"/>
  <c r="G931" i="5"/>
  <c r="I932" i="5"/>
  <c r="K932" i="5" s="1"/>
  <c r="M932" i="5" s="1"/>
  <c r="O932" i="5" s="1"/>
  <c r="I633" i="5"/>
  <c r="K633" i="5" s="1"/>
  <c r="M633" i="5" s="1"/>
  <c r="O633" i="5" s="1"/>
  <c r="G950" i="5"/>
  <c r="I950" i="5" s="1"/>
  <c r="K950" i="5" s="1"/>
  <c r="M950" i="5" s="1"/>
  <c r="O950" i="5" s="1"/>
  <c r="I951" i="5"/>
  <c r="K951" i="5" s="1"/>
  <c r="M951" i="5" s="1"/>
  <c r="O951" i="5" s="1"/>
  <c r="G923" i="5"/>
  <c r="I924" i="5"/>
  <c r="K924" i="5" s="1"/>
  <c r="M924" i="5" s="1"/>
  <c r="O924" i="5" s="1"/>
  <c r="G897" i="5"/>
  <c r="I908" i="5"/>
  <c r="K908" i="5" s="1"/>
  <c r="M908" i="5" s="1"/>
  <c r="O908" i="5" s="1"/>
  <c r="G942" i="5"/>
  <c r="I943" i="5"/>
  <c r="K943" i="5" s="1"/>
  <c r="M943" i="5" s="1"/>
  <c r="O943" i="5" s="1"/>
  <c r="I865" i="5"/>
  <c r="K865" i="5" s="1"/>
  <c r="M865" i="5" s="1"/>
  <c r="O865" i="5" s="1"/>
  <c r="G864" i="5"/>
  <c r="I864" i="5" s="1"/>
  <c r="K864" i="5" s="1"/>
  <c r="M864" i="5" s="1"/>
  <c r="O864" i="5" s="1"/>
  <c r="G916" i="5"/>
  <c r="I917" i="5"/>
  <c r="K917" i="5" s="1"/>
  <c r="M917" i="5" s="1"/>
  <c r="O917" i="5" s="1"/>
  <c r="F1454" i="6"/>
  <c r="H1454" i="6" s="1"/>
  <c r="J1454" i="6" s="1"/>
  <c r="L1454" i="6" s="1"/>
  <c r="N1454" i="6" s="1"/>
  <c r="H1455" i="6"/>
  <c r="J1455" i="6" s="1"/>
  <c r="L1455" i="6" s="1"/>
  <c r="N1455" i="6" s="1"/>
  <c r="G935" i="5"/>
  <c r="I936" i="5"/>
  <c r="K936" i="5" s="1"/>
  <c r="M936" i="5" s="1"/>
  <c r="O936" i="5" s="1"/>
  <c r="G961" i="5"/>
  <c r="A967" i="5"/>
  <c r="A966" i="5"/>
  <c r="G949" i="5" l="1"/>
  <c r="G948" i="5" s="1"/>
  <c r="G896" i="5"/>
  <c r="I897" i="5"/>
  <c r="K897" i="5" s="1"/>
  <c r="M897" i="5" s="1"/>
  <c r="O897" i="5" s="1"/>
  <c r="G930" i="5"/>
  <c r="I931" i="5"/>
  <c r="K931" i="5" s="1"/>
  <c r="M931" i="5" s="1"/>
  <c r="O931" i="5" s="1"/>
  <c r="G632" i="5"/>
  <c r="I632" i="5" s="1"/>
  <c r="K632" i="5" s="1"/>
  <c r="M632" i="5" s="1"/>
  <c r="O632" i="5" s="1"/>
  <c r="G960" i="5"/>
  <c r="I960" i="5" s="1"/>
  <c r="K960" i="5" s="1"/>
  <c r="M960" i="5" s="1"/>
  <c r="O960" i="5" s="1"/>
  <c r="I961" i="5"/>
  <c r="K961" i="5" s="1"/>
  <c r="M961" i="5" s="1"/>
  <c r="O961" i="5" s="1"/>
  <c r="I916" i="5"/>
  <c r="K916" i="5" s="1"/>
  <c r="M916" i="5" s="1"/>
  <c r="O916" i="5" s="1"/>
  <c r="G914" i="5"/>
  <c r="I914" i="5" s="1"/>
  <c r="K914" i="5" s="1"/>
  <c r="M914" i="5" s="1"/>
  <c r="O914" i="5" s="1"/>
  <c r="G915" i="5"/>
  <c r="I915" i="5" s="1"/>
  <c r="K915" i="5" s="1"/>
  <c r="M915" i="5" s="1"/>
  <c r="O915" i="5" s="1"/>
  <c r="G941" i="5"/>
  <c r="I942" i="5"/>
  <c r="K942" i="5" s="1"/>
  <c r="M942" i="5" s="1"/>
  <c r="O942" i="5" s="1"/>
  <c r="G922" i="5"/>
  <c r="I923" i="5"/>
  <c r="K923" i="5" s="1"/>
  <c r="M923" i="5" s="1"/>
  <c r="O923" i="5" s="1"/>
  <c r="G934" i="5"/>
  <c r="I935" i="5"/>
  <c r="K935" i="5" s="1"/>
  <c r="M935" i="5" s="1"/>
  <c r="O935" i="5" s="1"/>
  <c r="G964" i="5"/>
  <c r="G967" i="5"/>
  <c r="G972" i="5"/>
  <c r="A971" i="5"/>
  <c r="A982" i="5"/>
  <c r="A968" i="5"/>
  <c r="A970" i="5"/>
  <c r="A972" i="5"/>
  <c r="A973" i="5"/>
  <c r="A981" i="5"/>
  <c r="A979" i="5"/>
  <c r="A974" i="5"/>
  <c r="A976" i="5"/>
  <c r="A980" i="5"/>
  <c r="A978" i="5"/>
  <c r="A977" i="5"/>
  <c r="A969" i="5"/>
  <c r="I949" i="5" l="1"/>
  <c r="K949" i="5" s="1"/>
  <c r="M949" i="5" s="1"/>
  <c r="O949" i="5" s="1"/>
  <c r="G921" i="5"/>
  <c r="I922" i="5"/>
  <c r="K922" i="5" s="1"/>
  <c r="M922" i="5" s="1"/>
  <c r="O922" i="5" s="1"/>
  <c r="G929" i="5"/>
  <c r="I929" i="5" s="1"/>
  <c r="K929" i="5" s="1"/>
  <c r="M929" i="5" s="1"/>
  <c r="O929" i="5" s="1"/>
  <c r="I930" i="5"/>
  <c r="K930" i="5" s="1"/>
  <c r="M930" i="5" s="1"/>
  <c r="O930" i="5" s="1"/>
  <c r="G971" i="5"/>
  <c r="I972" i="5"/>
  <c r="K972" i="5" s="1"/>
  <c r="M972" i="5" s="1"/>
  <c r="O972" i="5" s="1"/>
  <c r="G963" i="5"/>
  <c r="I963" i="5" s="1"/>
  <c r="K963" i="5" s="1"/>
  <c r="M963" i="5" s="1"/>
  <c r="O963" i="5" s="1"/>
  <c r="I964" i="5"/>
  <c r="K964" i="5" s="1"/>
  <c r="M964" i="5" s="1"/>
  <c r="O964" i="5" s="1"/>
  <c r="G966" i="5"/>
  <c r="I966" i="5" s="1"/>
  <c r="K966" i="5" s="1"/>
  <c r="M966" i="5" s="1"/>
  <c r="O966" i="5" s="1"/>
  <c r="I967" i="5"/>
  <c r="K967" i="5" s="1"/>
  <c r="M967" i="5" s="1"/>
  <c r="O967" i="5" s="1"/>
  <c r="G940" i="5"/>
  <c r="I941" i="5"/>
  <c r="K941" i="5" s="1"/>
  <c r="M941" i="5" s="1"/>
  <c r="O941" i="5" s="1"/>
  <c r="G947" i="5"/>
  <c r="I948" i="5"/>
  <c r="K948" i="5" s="1"/>
  <c r="M948" i="5" s="1"/>
  <c r="O948" i="5" s="1"/>
  <c r="I896" i="5"/>
  <c r="K896" i="5" s="1"/>
  <c r="M896" i="5" s="1"/>
  <c r="O896" i="5" s="1"/>
  <c r="I934" i="5"/>
  <c r="K934" i="5" s="1"/>
  <c r="M934" i="5" s="1"/>
  <c r="O934" i="5" s="1"/>
  <c r="G979" i="5"/>
  <c r="G982" i="5"/>
  <c r="A985" i="5"/>
  <c r="A983" i="5"/>
  <c r="A984" i="5"/>
  <c r="G928" i="5" l="1"/>
  <c r="I928" i="5" s="1"/>
  <c r="K928" i="5" s="1"/>
  <c r="M928" i="5" s="1"/>
  <c r="O928" i="5" s="1"/>
  <c r="G959" i="5"/>
  <c r="G958" i="5" s="1"/>
  <c r="G939" i="5"/>
  <c r="I940" i="5"/>
  <c r="K940" i="5" s="1"/>
  <c r="M940" i="5" s="1"/>
  <c r="O940" i="5" s="1"/>
  <c r="G978" i="5"/>
  <c r="I978" i="5" s="1"/>
  <c r="K978" i="5" s="1"/>
  <c r="M978" i="5" s="1"/>
  <c r="O978" i="5" s="1"/>
  <c r="I979" i="5"/>
  <c r="K979" i="5" s="1"/>
  <c r="M979" i="5" s="1"/>
  <c r="O979" i="5" s="1"/>
  <c r="G981" i="5"/>
  <c r="I981" i="5" s="1"/>
  <c r="K981" i="5" s="1"/>
  <c r="M981" i="5" s="1"/>
  <c r="O981" i="5" s="1"/>
  <c r="I982" i="5"/>
  <c r="K982" i="5" s="1"/>
  <c r="M982" i="5" s="1"/>
  <c r="O982" i="5" s="1"/>
  <c r="I947" i="5"/>
  <c r="K947" i="5" s="1"/>
  <c r="M947" i="5" s="1"/>
  <c r="O947" i="5" s="1"/>
  <c r="G946" i="5"/>
  <c r="I946" i="5" s="1"/>
  <c r="K946" i="5" s="1"/>
  <c r="M946" i="5" s="1"/>
  <c r="O946" i="5" s="1"/>
  <c r="G970" i="5"/>
  <c r="I971" i="5"/>
  <c r="K971" i="5" s="1"/>
  <c r="M971" i="5" s="1"/>
  <c r="O971" i="5" s="1"/>
  <c r="G920" i="5"/>
  <c r="I921" i="5"/>
  <c r="K921" i="5" s="1"/>
  <c r="M921" i="5" s="1"/>
  <c r="O921" i="5" s="1"/>
  <c r="G985" i="5"/>
  <c r="G988" i="5"/>
  <c r="A986" i="5"/>
  <c r="A1000" i="5"/>
  <c r="A987" i="5"/>
  <c r="A999" i="5"/>
  <c r="A989" i="5"/>
  <c r="A996" i="5"/>
  <c r="A997" i="5"/>
  <c r="A988" i="5"/>
  <c r="A998" i="5"/>
  <c r="G927" i="5" l="1"/>
  <c r="I927" i="5" s="1"/>
  <c r="K927" i="5" s="1"/>
  <c r="M927" i="5" s="1"/>
  <c r="O927" i="5" s="1"/>
  <c r="I959" i="5"/>
  <c r="K959" i="5" s="1"/>
  <c r="M959" i="5" s="1"/>
  <c r="O959" i="5" s="1"/>
  <c r="G987" i="5"/>
  <c r="I987" i="5" s="1"/>
  <c r="I988" i="5"/>
  <c r="K988" i="5" s="1"/>
  <c r="G969" i="5"/>
  <c r="I969" i="5" s="1"/>
  <c r="K969" i="5" s="1"/>
  <c r="M969" i="5" s="1"/>
  <c r="O969" i="5" s="1"/>
  <c r="I970" i="5"/>
  <c r="K970" i="5" s="1"/>
  <c r="M970" i="5" s="1"/>
  <c r="O970" i="5" s="1"/>
  <c r="G984" i="5"/>
  <c r="I984" i="5" s="1"/>
  <c r="K984" i="5" s="1"/>
  <c r="M984" i="5" s="1"/>
  <c r="O984" i="5" s="1"/>
  <c r="I985" i="5"/>
  <c r="K985" i="5" s="1"/>
  <c r="M985" i="5" s="1"/>
  <c r="O985" i="5" s="1"/>
  <c r="I920" i="5"/>
  <c r="K920" i="5" s="1"/>
  <c r="M920" i="5" s="1"/>
  <c r="O920" i="5" s="1"/>
  <c r="G895" i="5"/>
  <c r="I895" i="5" s="1"/>
  <c r="K895" i="5" s="1"/>
  <c r="M895" i="5" s="1"/>
  <c r="O895" i="5" s="1"/>
  <c r="I958" i="5"/>
  <c r="K958" i="5" s="1"/>
  <c r="M958" i="5" s="1"/>
  <c r="O958" i="5" s="1"/>
  <c r="I939" i="5"/>
  <c r="K939" i="5" s="1"/>
  <c r="M939" i="5" s="1"/>
  <c r="O939" i="5" s="1"/>
  <c r="G938" i="5"/>
  <c r="I938" i="5" s="1"/>
  <c r="K938" i="5" s="1"/>
  <c r="M938" i="5" s="1"/>
  <c r="O938" i="5" s="1"/>
  <c r="G997" i="5"/>
  <c r="G1000" i="5"/>
  <c r="G1003" i="5"/>
  <c r="A1002" i="5"/>
  <c r="A1004" i="5"/>
  <c r="A1009" i="5"/>
  <c r="A1003" i="5"/>
  <c r="A1010" i="5"/>
  <c r="A1011" i="5"/>
  <c r="A1001" i="5"/>
  <c r="A1012" i="5"/>
  <c r="A1008" i="5"/>
  <c r="K987" i="5" l="1"/>
  <c r="M988" i="5"/>
  <c r="O988" i="5" s="1"/>
  <c r="G926" i="5"/>
  <c r="I926" i="5" s="1"/>
  <c r="K926" i="5" s="1"/>
  <c r="M926" i="5" s="1"/>
  <c r="O926" i="5" s="1"/>
  <c r="G999" i="5"/>
  <c r="I999" i="5" s="1"/>
  <c r="K999" i="5" s="1"/>
  <c r="M999" i="5" s="1"/>
  <c r="O999" i="5" s="1"/>
  <c r="I1000" i="5"/>
  <c r="K1000" i="5" s="1"/>
  <c r="M1000" i="5" s="1"/>
  <c r="O1000" i="5" s="1"/>
  <c r="G996" i="5"/>
  <c r="I996" i="5" s="1"/>
  <c r="K996" i="5" s="1"/>
  <c r="M996" i="5" s="1"/>
  <c r="O996" i="5" s="1"/>
  <c r="I997" i="5"/>
  <c r="K997" i="5" s="1"/>
  <c r="M997" i="5" s="1"/>
  <c r="O997" i="5" s="1"/>
  <c r="G1002" i="5"/>
  <c r="I1002" i="5" s="1"/>
  <c r="K1002" i="5" s="1"/>
  <c r="M1002" i="5" s="1"/>
  <c r="O1002" i="5" s="1"/>
  <c r="I1003" i="5"/>
  <c r="K1003" i="5" s="1"/>
  <c r="M1003" i="5" s="1"/>
  <c r="O1003" i="5" s="1"/>
  <c r="G957" i="5"/>
  <c r="A1013" i="5"/>
  <c r="A1014" i="5"/>
  <c r="A1015" i="5"/>
  <c r="A1016" i="5"/>
  <c r="M987" i="5" l="1"/>
  <c r="O987" i="5" s="1"/>
  <c r="G894" i="5"/>
  <c r="I894" i="5" s="1"/>
  <c r="K894" i="5" s="1"/>
  <c r="M894" i="5" s="1"/>
  <c r="O894" i="5" s="1"/>
  <c r="G977" i="5"/>
  <c r="I977" i="5" s="1"/>
  <c r="K977" i="5" s="1"/>
  <c r="M977" i="5" s="1"/>
  <c r="O977" i="5" s="1"/>
  <c r="I957" i="5"/>
  <c r="K957" i="5" s="1"/>
  <c r="M957" i="5" s="1"/>
  <c r="O957" i="5" s="1"/>
  <c r="G956" i="5"/>
  <c r="I956" i="5" s="1"/>
  <c r="K956" i="5" s="1"/>
  <c r="M956" i="5" s="1"/>
  <c r="O956" i="5" s="1"/>
  <c r="G1010" i="5"/>
  <c r="A1017" i="5"/>
  <c r="A1018" i="5"/>
  <c r="G1009" i="5" l="1"/>
  <c r="I1010" i="5"/>
  <c r="K1010" i="5" s="1"/>
  <c r="M1010" i="5" s="1"/>
  <c r="O1010" i="5" s="1"/>
  <c r="G1015" i="5"/>
  <c r="G1018" i="5"/>
  <c r="A1025" i="5"/>
  <c r="A1024" i="5"/>
  <c r="A1021" i="5"/>
  <c r="A1019" i="5"/>
  <c r="A1020" i="5"/>
  <c r="A1022" i="5"/>
  <c r="A1026" i="5"/>
  <c r="A1023" i="5"/>
  <c r="G1014" i="5" l="1"/>
  <c r="I1014" i="5" s="1"/>
  <c r="K1014" i="5" s="1"/>
  <c r="M1014" i="5" s="1"/>
  <c r="O1014" i="5" s="1"/>
  <c r="I1015" i="5"/>
  <c r="K1015" i="5" s="1"/>
  <c r="M1015" i="5" s="1"/>
  <c r="O1015" i="5" s="1"/>
  <c r="G1017" i="5"/>
  <c r="I1017" i="5" s="1"/>
  <c r="K1017" i="5" s="1"/>
  <c r="M1017" i="5" s="1"/>
  <c r="O1017" i="5" s="1"/>
  <c r="I1018" i="5"/>
  <c r="K1018" i="5" s="1"/>
  <c r="M1018" i="5" s="1"/>
  <c r="O1018" i="5" s="1"/>
  <c r="G1008" i="5"/>
  <c r="I1008" i="5" s="1"/>
  <c r="K1008" i="5" s="1"/>
  <c r="M1008" i="5" s="1"/>
  <c r="O1008" i="5" s="1"/>
  <c r="I1009" i="5"/>
  <c r="K1009" i="5" s="1"/>
  <c r="M1009" i="5" s="1"/>
  <c r="O1009" i="5" s="1"/>
  <c r="G1021" i="5"/>
  <c r="G1026" i="5"/>
  <c r="G1029" i="5"/>
  <c r="G1034" i="5"/>
  <c r="G1041" i="5"/>
  <c r="I1041" i="5" s="1"/>
  <c r="K1041" i="5" s="1"/>
  <c r="M1041" i="5" s="1"/>
  <c r="O1041" i="5" s="1"/>
  <c r="A1034" i="5"/>
  <c r="A1039" i="5"/>
  <c r="A1030" i="5"/>
  <c r="A1040" i="5"/>
  <c r="A1043" i="5"/>
  <c r="A1033" i="5"/>
  <c r="A1029" i="5"/>
  <c r="A1028" i="5"/>
  <c r="A1038" i="5"/>
  <c r="A1037" i="5"/>
  <c r="A1027" i="5"/>
  <c r="A1041" i="5"/>
  <c r="A1032" i="5"/>
  <c r="A1042" i="5"/>
  <c r="A1035" i="5"/>
  <c r="A1031" i="5"/>
  <c r="G1025" i="5" l="1"/>
  <c r="I1025" i="5" s="1"/>
  <c r="K1025" i="5" s="1"/>
  <c r="M1025" i="5" s="1"/>
  <c r="O1025" i="5" s="1"/>
  <c r="I1026" i="5"/>
  <c r="K1026" i="5" s="1"/>
  <c r="M1026" i="5" s="1"/>
  <c r="O1026" i="5" s="1"/>
  <c r="G1020" i="5"/>
  <c r="I1021" i="5"/>
  <c r="K1021" i="5" s="1"/>
  <c r="M1021" i="5" s="1"/>
  <c r="O1021" i="5" s="1"/>
  <c r="G1033" i="5"/>
  <c r="I1034" i="5"/>
  <c r="K1034" i="5" s="1"/>
  <c r="M1034" i="5" s="1"/>
  <c r="O1034" i="5" s="1"/>
  <c r="G1028" i="5"/>
  <c r="I1028" i="5" s="1"/>
  <c r="K1028" i="5" s="1"/>
  <c r="M1028" i="5" s="1"/>
  <c r="O1028" i="5" s="1"/>
  <c r="I1029" i="5"/>
  <c r="K1029" i="5" s="1"/>
  <c r="M1029" i="5" s="1"/>
  <c r="O1029" i="5" s="1"/>
  <c r="G1040" i="5"/>
  <c r="I1040" i="5" s="1"/>
  <c r="K1040" i="5" s="1"/>
  <c r="M1040" i="5" s="1"/>
  <c r="O1040" i="5" s="1"/>
  <c r="G1043" i="5"/>
  <c r="I1043" i="5" s="1"/>
  <c r="K1043" i="5" s="1"/>
  <c r="M1043" i="5" s="1"/>
  <c r="O1043" i="5" s="1"/>
  <c r="A1045" i="5"/>
  <c r="A1046" i="5"/>
  <c r="A1044" i="5"/>
  <c r="G1013" i="5" l="1"/>
  <c r="I1020" i="5"/>
  <c r="K1020" i="5" s="1"/>
  <c r="M1020" i="5" s="1"/>
  <c r="O1020" i="5" s="1"/>
  <c r="G1024" i="5"/>
  <c r="G1032" i="5"/>
  <c r="I1033" i="5"/>
  <c r="K1033" i="5" s="1"/>
  <c r="M1033" i="5" s="1"/>
  <c r="O1033" i="5" s="1"/>
  <c r="G1042" i="5"/>
  <c r="A1047" i="5"/>
  <c r="A1048" i="5"/>
  <c r="G1023" i="5" l="1"/>
  <c r="I1024" i="5"/>
  <c r="K1024" i="5" s="1"/>
  <c r="M1024" i="5" s="1"/>
  <c r="O1024" i="5" s="1"/>
  <c r="G1039" i="5"/>
  <c r="I1042" i="5"/>
  <c r="K1042" i="5" s="1"/>
  <c r="M1042" i="5" s="1"/>
  <c r="O1042" i="5" s="1"/>
  <c r="G1031" i="5"/>
  <c r="I1031" i="5" s="1"/>
  <c r="K1031" i="5" s="1"/>
  <c r="M1031" i="5" s="1"/>
  <c r="O1031" i="5" s="1"/>
  <c r="I1032" i="5"/>
  <c r="K1032" i="5" s="1"/>
  <c r="M1032" i="5" s="1"/>
  <c r="O1032" i="5" s="1"/>
  <c r="G976" i="5"/>
  <c r="I976" i="5" s="1"/>
  <c r="K976" i="5" s="1"/>
  <c r="M976" i="5" s="1"/>
  <c r="O976" i="5" s="1"/>
  <c r="I1013" i="5"/>
  <c r="K1013" i="5" s="1"/>
  <c r="M1013" i="5" s="1"/>
  <c r="O1013" i="5" s="1"/>
  <c r="G1045" i="5"/>
  <c r="I1045" i="5" s="1"/>
  <c r="K1045" i="5" s="1"/>
  <c r="M1045" i="5" s="1"/>
  <c r="O1045" i="5" s="1"/>
  <c r="G1048" i="5"/>
  <c r="I1048" i="5" s="1"/>
  <c r="K1048" i="5" s="1"/>
  <c r="M1048" i="5" s="1"/>
  <c r="O1048" i="5" s="1"/>
  <c r="A1050" i="5"/>
  <c r="A1049" i="5"/>
  <c r="G1038" i="5" l="1"/>
  <c r="I1038" i="5" s="1"/>
  <c r="K1038" i="5" s="1"/>
  <c r="M1038" i="5" s="1"/>
  <c r="O1038" i="5" s="1"/>
  <c r="I1039" i="5"/>
  <c r="K1039" i="5" s="1"/>
  <c r="M1039" i="5" s="1"/>
  <c r="O1039" i="5" s="1"/>
  <c r="G975" i="5"/>
  <c r="I975" i="5" s="1"/>
  <c r="K975" i="5" s="1"/>
  <c r="M975" i="5" s="1"/>
  <c r="O975" i="5" s="1"/>
  <c r="I1023" i="5"/>
  <c r="K1023" i="5" s="1"/>
  <c r="M1023" i="5" s="1"/>
  <c r="O1023" i="5" s="1"/>
  <c r="G1047" i="5"/>
  <c r="I1047" i="5" s="1"/>
  <c r="K1047" i="5" s="1"/>
  <c r="M1047" i="5" s="1"/>
  <c r="O1047" i="5" s="1"/>
  <c r="G1050" i="5"/>
  <c r="I1050" i="5" s="1"/>
  <c r="K1050" i="5" s="1"/>
  <c r="M1050" i="5" s="1"/>
  <c r="O1050" i="5" s="1"/>
  <c r="A1056" i="5"/>
  <c r="A1055" i="5"/>
  <c r="A1051" i="5"/>
  <c r="A1052" i="5"/>
  <c r="A1054" i="5"/>
  <c r="G1049" i="5" l="1"/>
  <c r="G1056" i="5"/>
  <c r="A1060" i="5"/>
  <c r="A1058" i="5"/>
  <c r="A1057" i="5"/>
  <c r="A1061" i="5"/>
  <c r="A1062" i="5"/>
  <c r="G1055" i="5" l="1"/>
  <c r="I1056" i="5"/>
  <c r="K1056" i="5" s="1"/>
  <c r="M1056" i="5" s="1"/>
  <c r="O1056" i="5" s="1"/>
  <c r="G1044" i="5"/>
  <c r="I1049" i="5"/>
  <c r="K1049" i="5" s="1"/>
  <c r="M1049" i="5" s="1"/>
  <c r="O1049" i="5" s="1"/>
  <c r="G1062" i="5"/>
  <c r="G1071" i="5"/>
  <c r="I1071" i="5" s="1"/>
  <c r="K1071" i="5" s="1"/>
  <c r="M1071" i="5" s="1"/>
  <c r="O1071" i="5" s="1"/>
  <c r="A1063" i="5"/>
  <c r="A1068" i="5"/>
  <c r="A1071" i="5"/>
  <c r="A1073" i="5"/>
  <c r="A1064" i="5"/>
  <c r="A1074" i="5"/>
  <c r="A1069" i="5"/>
  <c r="A1065" i="5"/>
  <c r="A1070" i="5"/>
  <c r="A1072" i="5"/>
  <c r="A1075" i="5"/>
  <c r="A1067" i="5"/>
  <c r="G1037" i="5" l="1"/>
  <c r="I1044" i="5"/>
  <c r="K1044" i="5" s="1"/>
  <c r="M1044" i="5" s="1"/>
  <c r="O1044" i="5" s="1"/>
  <c r="G1061" i="5"/>
  <c r="I1062" i="5"/>
  <c r="K1062" i="5" s="1"/>
  <c r="M1062" i="5" s="1"/>
  <c r="O1062" i="5" s="1"/>
  <c r="G1054" i="5"/>
  <c r="I1055" i="5"/>
  <c r="K1055" i="5" s="1"/>
  <c r="M1055" i="5" s="1"/>
  <c r="O1055" i="5" s="1"/>
  <c r="G1069" i="5"/>
  <c r="G1075" i="5"/>
  <c r="I1075" i="5" s="1"/>
  <c r="K1075" i="5" s="1"/>
  <c r="M1075" i="5" s="1"/>
  <c r="O1075" i="5" s="1"/>
  <c r="A1076" i="5"/>
  <c r="A1077" i="5"/>
  <c r="G1068" i="5" l="1"/>
  <c r="I1068" i="5" s="1"/>
  <c r="K1068" i="5" s="1"/>
  <c r="M1068" i="5" s="1"/>
  <c r="O1068" i="5" s="1"/>
  <c r="I1069" i="5"/>
  <c r="K1069" i="5" s="1"/>
  <c r="M1069" i="5" s="1"/>
  <c r="O1069" i="5" s="1"/>
  <c r="G1060" i="5"/>
  <c r="I1061" i="5"/>
  <c r="K1061" i="5" s="1"/>
  <c r="M1061" i="5" s="1"/>
  <c r="O1061" i="5" s="1"/>
  <c r="G1053" i="5"/>
  <c r="I1053" i="5" s="1"/>
  <c r="K1053" i="5" s="1"/>
  <c r="M1053" i="5" s="1"/>
  <c r="O1053" i="5" s="1"/>
  <c r="I1054" i="5"/>
  <c r="K1054" i="5" s="1"/>
  <c r="M1054" i="5" s="1"/>
  <c r="O1054" i="5" s="1"/>
  <c r="G1036" i="5"/>
  <c r="I1037" i="5"/>
  <c r="K1037" i="5" s="1"/>
  <c r="M1037" i="5" s="1"/>
  <c r="O1037" i="5" s="1"/>
  <c r="G1073" i="5"/>
  <c r="G1077" i="5"/>
  <c r="A1082" i="5"/>
  <c r="A1081" i="5"/>
  <c r="A1078" i="5"/>
  <c r="A1080" i="5"/>
  <c r="I1036" i="5" l="1"/>
  <c r="K1036" i="5" s="1"/>
  <c r="M1036" i="5" s="1"/>
  <c r="O1036" i="5" s="1"/>
  <c r="G974" i="5"/>
  <c r="G1059" i="5"/>
  <c r="I1060" i="5"/>
  <c r="K1060" i="5" s="1"/>
  <c r="M1060" i="5" s="1"/>
  <c r="O1060" i="5" s="1"/>
  <c r="G1076" i="5"/>
  <c r="I1076" i="5" s="1"/>
  <c r="K1076" i="5" s="1"/>
  <c r="M1076" i="5" s="1"/>
  <c r="O1076" i="5" s="1"/>
  <c r="I1077" i="5"/>
  <c r="K1077" i="5" s="1"/>
  <c r="M1077" i="5" s="1"/>
  <c r="O1077" i="5" s="1"/>
  <c r="G1072" i="5"/>
  <c r="I1072" i="5" s="1"/>
  <c r="K1072" i="5" s="1"/>
  <c r="M1072" i="5" s="1"/>
  <c r="O1072" i="5" s="1"/>
  <c r="I1073" i="5"/>
  <c r="K1073" i="5" s="1"/>
  <c r="M1073" i="5" s="1"/>
  <c r="O1073" i="5" s="1"/>
  <c r="G1082" i="5"/>
  <c r="G1087" i="5"/>
  <c r="G1091" i="5"/>
  <c r="I1091" i="5" s="1"/>
  <c r="K1091" i="5" s="1"/>
  <c r="M1091" i="5" s="1"/>
  <c r="O1091" i="5" s="1"/>
  <c r="A1089" i="5"/>
  <c r="A1091" i="5"/>
  <c r="A1090" i="5"/>
  <c r="A1083" i="5"/>
  <c r="A1092" i="5"/>
  <c r="A1088" i="5"/>
  <c r="A1086" i="5"/>
  <c r="A1085" i="5"/>
  <c r="A1087" i="5"/>
  <c r="G1067" i="5" l="1"/>
  <c r="I1067" i="5" s="1"/>
  <c r="K1067" i="5" s="1"/>
  <c r="M1067" i="5" s="1"/>
  <c r="O1067" i="5" s="1"/>
  <c r="G1086" i="5"/>
  <c r="I1086" i="5" s="1"/>
  <c r="K1086" i="5" s="1"/>
  <c r="M1086" i="5" s="1"/>
  <c r="O1086" i="5" s="1"/>
  <c r="I1087" i="5"/>
  <c r="K1087" i="5" s="1"/>
  <c r="M1087" i="5" s="1"/>
  <c r="O1087" i="5" s="1"/>
  <c r="G1052" i="5"/>
  <c r="I1052" i="5" s="1"/>
  <c r="K1052" i="5" s="1"/>
  <c r="M1052" i="5" s="1"/>
  <c r="O1052" i="5" s="1"/>
  <c r="I1059" i="5"/>
  <c r="K1059" i="5" s="1"/>
  <c r="M1059" i="5" s="1"/>
  <c r="O1059" i="5" s="1"/>
  <c r="G1081" i="5"/>
  <c r="I1082" i="5"/>
  <c r="K1082" i="5" s="1"/>
  <c r="M1082" i="5" s="1"/>
  <c r="O1082" i="5" s="1"/>
  <c r="G945" i="5"/>
  <c r="I945" i="5" s="1"/>
  <c r="K945" i="5" s="1"/>
  <c r="M945" i="5" s="1"/>
  <c r="O945" i="5" s="1"/>
  <c r="I974" i="5"/>
  <c r="K974" i="5" s="1"/>
  <c r="M974" i="5" s="1"/>
  <c r="O974" i="5" s="1"/>
  <c r="G1090" i="5"/>
  <c r="I1090" i="5" s="1"/>
  <c r="K1090" i="5" s="1"/>
  <c r="M1090" i="5" s="1"/>
  <c r="O1090" i="5" s="1"/>
  <c r="G1092" i="5"/>
  <c r="I1092" i="5" s="1"/>
  <c r="K1092" i="5" s="1"/>
  <c r="M1092" i="5" s="1"/>
  <c r="O1092" i="5" s="1"/>
  <c r="A1094" i="5"/>
  <c r="A1096" i="5"/>
  <c r="A1095" i="5"/>
  <c r="A1097" i="5"/>
  <c r="A1093" i="5"/>
  <c r="G1066" i="5" l="1"/>
  <c r="I1066" i="5" s="1"/>
  <c r="K1066" i="5" s="1"/>
  <c r="M1066" i="5" s="1"/>
  <c r="O1066" i="5" s="1"/>
  <c r="G1080" i="5"/>
  <c r="I1081" i="5"/>
  <c r="K1081" i="5" s="1"/>
  <c r="M1081" i="5" s="1"/>
  <c r="O1081" i="5" s="1"/>
  <c r="G1089" i="5"/>
  <c r="I1089" i="5" s="1"/>
  <c r="K1089" i="5" s="1"/>
  <c r="M1089" i="5" s="1"/>
  <c r="O1089" i="5" s="1"/>
  <c r="G1097" i="5"/>
  <c r="I1097" i="5" s="1"/>
  <c r="K1097" i="5" s="1"/>
  <c r="M1097" i="5" s="1"/>
  <c r="O1097" i="5" s="1"/>
  <c r="A1098" i="5"/>
  <c r="G1079" i="5" l="1"/>
  <c r="I1079" i="5" s="1"/>
  <c r="K1079" i="5" s="1"/>
  <c r="M1079" i="5" s="1"/>
  <c r="O1079" i="5" s="1"/>
  <c r="I1080" i="5"/>
  <c r="K1080" i="5" s="1"/>
  <c r="M1080" i="5" s="1"/>
  <c r="O1080" i="5" s="1"/>
  <c r="G1096" i="5"/>
  <c r="I1096" i="5" s="1"/>
  <c r="K1096" i="5" s="1"/>
  <c r="M1096" i="5" s="1"/>
  <c r="O1096" i="5" s="1"/>
  <c r="G1098" i="5"/>
  <c r="I1098" i="5" s="1"/>
  <c r="K1098" i="5" s="1"/>
  <c r="M1098" i="5" s="1"/>
  <c r="O1098" i="5" s="1"/>
  <c r="A1106" i="5"/>
  <c r="A1100" i="5"/>
  <c r="A1101" i="5"/>
  <c r="A1104" i="5"/>
  <c r="A1099" i="5"/>
  <c r="A1105" i="5"/>
  <c r="A1103" i="5"/>
  <c r="G1095" i="5" l="1"/>
  <c r="G1106" i="5"/>
  <c r="I1106" i="5" s="1"/>
  <c r="K1106" i="5" s="1"/>
  <c r="M1106" i="5" s="1"/>
  <c r="O1106" i="5" s="1"/>
  <c r="A1107" i="5"/>
  <c r="A1108" i="5"/>
  <c r="A1109" i="5"/>
  <c r="G1094" i="5" l="1"/>
  <c r="I1095" i="5"/>
  <c r="K1095" i="5" s="1"/>
  <c r="M1095" i="5" s="1"/>
  <c r="O1095" i="5" s="1"/>
  <c r="G1105" i="5"/>
  <c r="G1109" i="5"/>
  <c r="I1109" i="5" s="1"/>
  <c r="K1109" i="5" s="1"/>
  <c r="M1109" i="5" s="1"/>
  <c r="O1109" i="5" s="1"/>
  <c r="A1110" i="5"/>
  <c r="G1104" i="5" l="1"/>
  <c r="I1104" i="5" s="1"/>
  <c r="K1104" i="5" s="1"/>
  <c r="M1104" i="5" s="1"/>
  <c r="O1104" i="5" s="1"/>
  <c r="I1105" i="5"/>
  <c r="K1105" i="5" s="1"/>
  <c r="M1105" i="5" s="1"/>
  <c r="O1105" i="5" s="1"/>
  <c r="G1085" i="5"/>
  <c r="I1094" i="5"/>
  <c r="K1094" i="5" s="1"/>
  <c r="M1094" i="5" s="1"/>
  <c r="O1094" i="5" s="1"/>
  <c r="G1108" i="5"/>
  <c r="I1108" i="5" s="1"/>
  <c r="K1108" i="5" s="1"/>
  <c r="M1108" i="5" s="1"/>
  <c r="O1108" i="5" s="1"/>
  <c r="G1110" i="5"/>
  <c r="I1110" i="5" s="1"/>
  <c r="K1110" i="5" s="1"/>
  <c r="M1110" i="5" s="1"/>
  <c r="O1110" i="5" s="1"/>
  <c r="A1116" i="5"/>
  <c r="A1115" i="5"/>
  <c r="A1111" i="5"/>
  <c r="A1114" i="5"/>
  <c r="A1112" i="5"/>
  <c r="A1113" i="5"/>
  <c r="G1084" i="5" l="1"/>
  <c r="I1085" i="5"/>
  <c r="K1085" i="5" s="1"/>
  <c r="M1085" i="5" s="1"/>
  <c r="O1085" i="5" s="1"/>
  <c r="G1107" i="5"/>
  <c r="G1116" i="5"/>
  <c r="I1116" i="5" s="1"/>
  <c r="K1116" i="5" s="1"/>
  <c r="M1116" i="5" s="1"/>
  <c r="O1116" i="5" s="1"/>
  <c r="A1121" i="5"/>
  <c r="A1120" i="5"/>
  <c r="A1122" i="5"/>
  <c r="A1117" i="5"/>
  <c r="A1118" i="5"/>
  <c r="I1084" i="5" l="1"/>
  <c r="K1084" i="5" s="1"/>
  <c r="M1084" i="5" s="1"/>
  <c r="O1084" i="5" s="1"/>
  <c r="G1065" i="5"/>
  <c r="G1103" i="5"/>
  <c r="I1103" i="5" s="1"/>
  <c r="K1103" i="5" s="1"/>
  <c r="M1103" i="5" s="1"/>
  <c r="O1103" i="5" s="1"/>
  <c r="I1107" i="5"/>
  <c r="K1107" i="5" s="1"/>
  <c r="M1107" i="5" s="1"/>
  <c r="O1107" i="5" s="1"/>
  <c r="G1115" i="5"/>
  <c r="G1122" i="5"/>
  <c r="A1124" i="5"/>
  <c r="A1123" i="5"/>
  <c r="A1126" i="5"/>
  <c r="A1125" i="5"/>
  <c r="G1121" i="5" l="1"/>
  <c r="I1122" i="5"/>
  <c r="K1122" i="5" s="1"/>
  <c r="M1122" i="5" s="1"/>
  <c r="O1122" i="5" s="1"/>
  <c r="G1051" i="5"/>
  <c r="I1051" i="5" s="1"/>
  <c r="K1051" i="5" s="1"/>
  <c r="M1051" i="5" s="1"/>
  <c r="O1051" i="5" s="1"/>
  <c r="I1065" i="5"/>
  <c r="K1065" i="5" s="1"/>
  <c r="M1065" i="5" s="1"/>
  <c r="O1065" i="5" s="1"/>
  <c r="G1114" i="5"/>
  <c r="I1114" i="5" s="1"/>
  <c r="K1114" i="5" s="1"/>
  <c r="M1114" i="5" s="1"/>
  <c r="O1114" i="5" s="1"/>
  <c r="I1115" i="5"/>
  <c r="K1115" i="5" s="1"/>
  <c r="M1115" i="5" s="1"/>
  <c r="O1115" i="5" s="1"/>
  <c r="G1126" i="5"/>
  <c r="A1131" i="5"/>
  <c r="A1130" i="5"/>
  <c r="A1127" i="5"/>
  <c r="A1132" i="5"/>
  <c r="A1129" i="5"/>
  <c r="G1113" i="5" l="1"/>
  <c r="I1113" i="5" s="1"/>
  <c r="K1113" i="5" s="1"/>
  <c r="M1113" i="5" s="1"/>
  <c r="O1113" i="5" s="1"/>
  <c r="G1125" i="5"/>
  <c r="I1126" i="5"/>
  <c r="K1126" i="5" s="1"/>
  <c r="M1126" i="5" s="1"/>
  <c r="O1126" i="5" s="1"/>
  <c r="G1120" i="5"/>
  <c r="I1120" i="5" s="1"/>
  <c r="K1120" i="5" s="1"/>
  <c r="M1120" i="5" s="1"/>
  <c r="O1120" i="5" s="1"/>
  <c r="I1121" i="5"/>
  <c r="K1121" i="5" s="1"/>
  <c r="M1121" i="5" s="1"/>
  <c r="O1121" i="5" s="1"/>
  <c r="A1133" i="5"/>
  <c r="G1102" i="5" l="1"/>
  <c r="I1102" i="5" s="1"/>
  <c r="K1102" i="5" s="1"/>
  <c r="M1102" i="5" s="1"/>
  <c r="O1102" i="5" s="1"/>
  <c r="G1124" i="5"/>
  <c r="I1125" i="5"/>
  <c r="K1125" i="5" s="1"/>
  <c r="M1125" i="5" s="1"/>
  <c r="O1125" i="5" s="1"/>
  <c r="A1135" i="5"/>
  <c r="A1134" i="5"/>
  <c r="G1101" i="5" l="1"/>
  <c r="I1101" i="5" s="1"/>
  <c r="K1101" i="5" s="1"/>
  <c r="M1101" i="5" s="1"/>
  <c r="O1101" i="5" s="1"/>
  <c r="G1119" i="5"/>
  <c r="I1124" i="5"/>
  <c r="K1124" i="5" s="1"/>
  <c r="M1124" i="5" s="1"/>
  <c r="O1124" i="5" s="1"/>
  <c r="G1132" i="5"/>
  <c r="A1141" i="5"/>
  <c r="A1136" i="5"/>
  <c r="A1140" i="5"/>
  <c r="G1131" i="5" l="1"/>
  <c r="I1131" i="5" s="1"/>
  <c r="K1131" i="5" s="1"/>
  <c r="M1131" i="5" s="1"/>
  <c r="O1131" i="5" s="1"/>
  <c r="I1132" i="5"/>
  <c r="K1132" i="5" s="1"/>
  <c r="M1132" i="5" s="1"/>
  <c r="O1132" i="5" s="1"/>
  <c r="I1119" i="5"/>
  <c r="K1119" i="5" s="1"/>
  <c r="M1119" i="5" s="1"/>
  <c r="O1119" i="5" s="1"/>
  <c r="D31" i="1"/>
  <c r="F31" i="1" s="1"/>
  <c r="H31" i="1" s="1"/>
  <c r="J31" i="1" s="1"/>
  <c r="L31" i="1" s="1"/>
  <c r="G1135" i="5"/>
  <c r="G1141" i="5"/>
  <c r="A1151" i="5"/>
  <c r="A1142" i="5"/>
  <c r="A1152" i="5"/>
  <c r="A1147" i="5"/>
  <c r="G1134" i="5" l="1"/>
  <c r="I1134" i="5" s="1"/>
  <c r="K1134" i="5" s="1"/>
  <c r="M1134" i="5" s="1"/>
  <c r="O1134" i="5" s="1"/>
  <c r="I1135" i="5"/>
  <c r="K1135" i="5" s="1"/>
  <c r="M1135" i="5" s="1"/>
  <c r="O1135" i="5" s="1"/>
  <c r="G1140" i="5"/>
  <c r="I1140" i="5" s="1"/>
  <c r="K1140" i="5" s="1"/>
  <c r="M1140" i="5" s="1"/>
  <c r="O1140" i="5" s="1"/>
  <c r="I1141" i="5"/>
  <c r="K1141" i="5" s="1"/>
  <c r="M1141" i="5" s="1"/>
  <c r="O1141" i="5" s="1"/>
  <c r="G1152" i="5"/>
  <c r="G1155" i="5"/>
  <c r="G1160" i="5"/>
  <c r="G1165" i="5"/>
  <c r="I1165" i="5" s="1"/>
  <c r="K1165" i="5" s="1"/>
  <c r="M1165" i="5" s="1"/>
  <c r="O1165" i="5" s="1"/>
  <c r="A1165" i="5"/>
  <c r="A1156" i="5"/>
  <c r="A1160" i="5"/>
  <c r="A1154" i="5"/>
  <c r="A1159" i="5"/>
  <c r="A1161" i="5"/>
  <c r="A1153" i="5"/>
  <c r="A1158" i="5"/>
  <c r="A1166" i="5"/>
  <c r="A1164" i="5"/>
  <c r="A1155" i="5"/>
  <c r="A1163" i="5"/>
  <c r="A1162" i="5"/>
  <c r="G1159" i="5" l="1"/>
  <c r="I1159" i="5" s="1"/>
  <c r="K1159" i="5" s="1"/>
  <c r="M1159" i="5" s="1"/>
  <c r="O1159" i="5" s="1"/>
  <c r="I1160" i="5"/>
  <c r="K1160" i="5" s="1"/>
  <c r="M1160" i="5" s="1"/>
  <c r="O1160" i="5" s="1"/>
  <c r="G1151" i="5"/>
  <c r="I1151" i="5" s="1"/>
  <c r="K1151" i="5" s="1"/>
  <c r="M1151" i="5" s="1"/>
  <c r="O1151" i="5" s="1"/>
  <c r="I1152" i="5"/>
  <c r="K1152" i="5" s="1"/>
  <c r="M1152" i="5" s="1"/>
  <c r="O1152" i="5" s="1"/>
  <c r="G1154" i="5"/>
  <c r="I1154" i="5" s="1"/>
  <c r="K1154" i="5" s="1"/>
  <c r="M1154" i="5" s="1"/>
  <c r="O1154" i="5" s="1"/>
  <c r="I1155" i="5"/>
  <c r="K1155" i="5" s="1"/>
  <c r="M1155" i="5" s="1"/>
  <c r="O1155" i="5" s="1"/>
  <c r="G1130" i="5"/>
  <c r="I1130" i="5" s="1"/>
  <c r="K1130" i="5" s="1"/>
  <c r="M1130" i="5" s="1"/>
  <c r="O1130" i="5" s="1"/>
  <c r="G1164" i="5"/>
  <c r="I1164" i="5" s="1"/>
  <c r="K1164" i="5" s="1"/>
  <c r="M1164" i="5" s="1"/>
  <c r="O1164" i="5" s="1"/>
  <c r="G1166" i="5"/>
  <c r="I1166" i="5" s="1"/>
  <c r="K1166" i="5" s="1"/>
  <c r="M1166" i="5" s="1"/>
  <c r="O1166" i="5" s="1"/>
  <c r="G1182" i="5"/>
  <c r="G1186" i="5"/>
  <c r="I1186" i="5" s="1"/>
  <c r="K1186" i="5" s="1"/>
  <c r="M1186" i="5" s="1"/>
  <c r="O1186" i="5" s="1"/>
  <c r="A1180" i="5"/>
  <c r="A1178" i="5"/>
  <c r="A1185" i="5"/>
  <c r="A1168" i="5"/>
  <c r="A1187" i="5"/>
  <c r="A1188" i="5"/>
  <c r="A1179" i="5"/>
  <c r="A1177" i="5"/>
  <c r="A1183" i="5"/>
  <c r="A1186" i="5"/>
  <c r="A1167" i="5"/>
  <c r="A1169" i="5"/>
  <c r="A1184" i="5"/>
  <c r="A1181" i="5"/>
  <c r="A1182" i="5"/>
  <c r="G1181" i="5" l="1"/>
  <c r="I1182" i="5"/>
  <c r="K1182" i="5" s="1"/>
  <c r="M1182" i="5" s="1"/>
  <c r="O1182" i="5" s="1"/>
  <c r="G1147" i="5"/>
  <c r="I1147" i="5" s="1"/>
  <c r="K1147" i="5" s="1"/>
  <c r="M1147" i="5" s="1"/>
  <c r="O1147" i="5" s="1"/>
  <c r="G1163" i="5"/>
  <c r="G1185" i="5"/>
  <c r="I1185" i="5" s="1"/>
  <c r="K1185" i="5" s="1"/>
  <c r="M1185" i="5" s="1"/>
  <c r="O1185" i="5" s="1"/>
  <c r="G1188" i="5"/>
  <c r="I1188" i="5" s="1"/>
  <c r="K1188" i="5" s="1"/>
  <c r="M1188" i="5" s="1"/>
  <c r="O1188" i="5" s="1"/>
  <c r="A1190" i="5"/>
  <c r="A1189" i="5"/>
  <c r="G1162" i="5" l="1"/>
  <c r="I1163" i="5"/>
  <c r="K1163" i="5" s="1"/>
  <c r="M1163" i="5" s="1"/>
  <c r="O1163" i="5" s="1"/>
  <c r="G1180" i="5"/>
  <c r="I1180" i="5" s="1"/>
  <c r="K1180" i="5" s="1"/>
  <c r="M1180" i="5" s="1"/>
  <c r="O1180" i="5" s="1"/>
  <c r="I1181" i="5"/>
  <c r="K1181" i="5" s="1"/>
  <c r="M1181" i="5" s="1"/>
  <c r="O1181" i="5" s="1"/>
  <c r="G1129" i="5"/>
  <c r="G1128" i="5" s="1"/>
  <c r="I1128" i="5" s="1"/>
  <c r="K1128" i="5" s="1"/>
  <c r="M1128" i="5" s="1"/>
  <c r="O1128" i="5" s="1"/>
  <c r="G1187" i="5"/>
  <c r="I1187" i="5" s="1"/>
  <c r="K1187" i="5" s="1"/>
  <c r="M1187" i="5" s="1"/>
  <c r="O1187" i="5" s="1"/>
  <c r="G1190" i="5"/>
  <c r="I1190" i="5" s="1"/>
  <c r="K1190" i="5" s="1"/>
  <c r="M1190" i="5" s="1"/>
  <c r="O1190" i="5" s="1"/>
  <c r="A1191" i="5"/>
  <c r="G1158" i="5" l="1"/>
  <c r="I1158" i="5" s="1"/>
  <c r="K1158" i="5" s="1"/>
  <c r="M1158" i="5" s="1"/>
  <c r="O1158" i="5" s="1"/>
  <c r="I1162" i="5"/>
  <c r="K1162" i="5" s="1"/>
  <c r="M1162" i="5" s="1"/>
  <c r="O1162" i="5" s="1"/>
  <c r="I1129" i="5"/>
  <c r="K1129" i="5" s="1"/>
  <c r="M1129" i="5" s="1"/>
  <c r="O1129" i="5" s="1"/>
  <c r="G1189" i="5"/>
  <c r="A1201" i="5"/>
  <c r="A1203" i="5"/>
  <c r="A1202" i="5"/>
  <c r="G1184" i="5" l="1"/>
  <c r="I1184" i="5" s="1"/>
  <c r="K1184" i="5" s="1"/>
  <c r="M1184" i="5" s="1"/>
  <c r="O1184" i="5" s="1"/>
  <c r="I1189" i="5"/>
  <c r="K1189" i="5" s="1"/>
  <c r="M1189" i="5" s="1"/>
  <c r="O1189" i="5" s="1"/>
  <c r="G1203" i="5"/>
  <c r="A1204" i="5"/>
  <c r="A1205" i="5"/>
  <c r="A1209" i="5"/>
  <c r="A1207" i="5"/>
  <c r="A1208" i="5"/>
  <c r="A1206" i="5"/>
  <c r="G1168" i="5" l="1"/>
  <c r="G1157" i="5" s="1"/>
  <c r="G1202" i="5"/>
  <c r="I1203" i="5"/>
  <c r="K1203" i="5" s="1"/>
  <c r="M1203" i="5" s="1"/>
  <c r="O1203" i="5" s="1"/>
  <c r="A1210" i="5"/>
  <c r="A1211" i="5"/>
  <c r="I1157" i="5" l="1"/>
  <c r="K1157" i="5" s="1"/>
  <c r="M1157" i="5" s="1"/>
  <c r="O1157" i="5" s="1"/>
  <c r="G1118" i="5"/>
  <c r="I1118" i="5" s="1"/>
  <c r="K1118" i="5" s="1"/>
  <c r="M1118" i="5" s="1"/>
  <c r="O1118" i="5" s="1"/>
  <c r="I1168" i="5"/>
  <c r="K1168" i="5" s="1"/>
  <c r="M1168" i="5" s="1"/>
  <c r="O1168" i="5" s="1"/>
  <c r="G1201" i="5"/>
  <c r="I1201" i="5" s="1"/>
  <c r="K1201" i="5" s="1"/>
  <c r="M1201" i="5" s="1"/>
  <c r="O1201" i="5" s="1"/>
  <c r="I1202" i="5"/>
  <c r="K1202" i="5" s="1"/>
  <c r="M1202" i="5" s="1"/>
  <c r="O1202" i="5" s="1"/>
  <c r="G1208" i="5"/>
  <c r="G1211" i="5"/>
  <c r="A1212" i="5"/>
  <c r="A1217" i="5"/>
  <c r="A1221" i="5"/>
  <c r="A1223" i="5"/>
  <c r="A1219" i="5"/>
  <c r="A1220" i="5"/>
  <c r="G1207" i="5" l="1"/>
  <c r="I1208" i="5"/>
  <c r="K1208" i="5" s="1"/>
  <c r="M1208" i="5" s="1"/>
  <c r="O1208" i="5" s="1"/>
  <c r="G1210" i="5"/>
  <c r="I1210" i="5" s="1"/>
  <c r="K1210" i="5" s="1"/>
  <c r="M1210" i="5" s="1"/>
  <c r="O1210" i="5" s="1"/>
  <c r="I1211" i="5"/>
  <c r="K1211" i="5" s="1"/>
  <c r="M1211" i="5" s="1"/>
  <c r="O1211" i="5" s="1"/>
  <c r="G1230" i="5"/>
  <c r="I1230" i="5" s="1"/>
  <c r="K1230" i="5" s="1"/>
  <c r="M1230" i="5" s="1"/>
  <c r="O1230" i="5" s="1"/>
  <c r="A1232" i="5"/>
  <c r="A1228" i="5"/>
  <c r="A1224" i="5"/>
  <c r="A1231" i="5"/>
  <c r="A1229" i="5"/>
  <c r="A1230" i="5"/>
  <c r="G1206" i="5" l="1"/>
  <c r="I1206" i="5" s="1"/>
  <c r="K1206" i="5" s="1"/>
  <c r="M1206" i="5" s="1"/>
  <c r="O1206" i="5" s="1"/>
  <c r="I1207" i="5"/>
  <c r="K1207" i="5" s="1"/>
  <c r="M1207" i="5" s="1"/>
  <c r="O1207" i="5" s="1"/>
  <c r="G1229" i="5"/>
  <c r="G1232" i="5"/>
  <c r="A1233" i="5"/>
  <c r="A1238" i="5"/>
  <c r="A1237" i="5"/>
  <c r="A1235" i="5"/>
  <c r="A1236" i="5"/>
  <c r="G1205" i="5" l="1"/>
  <c r="G1192" i="5" s="1"/>
  <c r="G1228" i="5"/>
  <c r="I1228" i="5" s="1"/>
  <c r="K1228" i="5" s="1"/>
  <c r="M1228" i="5" s="1"/>
  <c r="O1228" i="5" s="1"/>
  <c r="I1229" i="5"/>
  <c r="K1229" i="5" s="1"/>
  <c r="M1229" i="5" s="1"/>
  <c r="O1229" i="5" s="1"/>
  <c r="G1231" i="5"/>
  <c r="I1231" i="5" s="1"/>
  <c r="K1231" i="5" s="1"/>
  <c r="M1231" i="5" s="1"/>
  <c r="O1231" i="5" s="1"/>
  <c r="I1232" i="5"/>
  <c r="K1232" i="5" s="1"/>
  <c r="M1232" i="5" s="1"/>
  <c r="O1232" i="5" s="1"/>
  <c r="G1239" i="5"/>
  <c r="I1239" i="5" s="1"/>
  <c r="K1239" i="5" s="1"/>
  <c r="M1239" i="5" s="1"/>
  <c r="O1239" i="5" s="1"/>
  <c r="A1240" i="5"/>
  <c r="A1239" i="5"/>
  <c r="A1241" i="5"/>
  <c r="G1220" i="5" l="1"/>
  <c r="I1220" i="5" s="1"/>
  <c r="K1220" i="5" s="1"/>
  <c r="M1220" i="5" s="1"/>
  <c r="O1220" i="5" s="1"/>
  <c r="I1205" i="5"/>
  <c r="K1205" i="5" s="1"/>
  <c r="M1205" i="5" s="1"/>
  <c r="O1205" i="5" s="1"/>
  <c r="I1192" i="5"/>
  <c r="K1192" i="5" s="1"/>
  <c r="M1192" i="5" s="1"/>
  <c r="O1192" i="5" s="1"/>
  <c r="G1191" i="5"/>
  <c r="I1191" i="5" s="1"/>
  <c r="K1191" i="5" s="1"/>
  <c r="M1191" i="5" s="1"/>
  <c r="O1191" i="5" s="1"/>
  <c r="G1238" i="5"/>
  <c r="G1241" i="5"/>
  <c r="A1243" i="5"/>
  <c r="A1244" i="5"/>
  <c r="A1242" i="5"/>
  <c r="G1219" i="5" l="1"/>
  <c r="I1219" i="5" s="1"/>
  <c r="K1219" i="5" s="1"/>
  <c r="M1219" i="5" s="1"/>
  <c r="O1219" i="5" s="1"/>
  <c r="G1240" i="5"/>
  <c r="I1240" i="5" s="1"/>
  <c r="K1240" i="5" s="1"/>
  <c r="M1240" i="5" s="1"/>
  <c r="O1240" i="5" s="1"/>
  <c r="I1241" i="5"/>
  <c r="K1241" i="5" s="1"/>
  <c r="M1241" i="5" s="1"/>
  <c r="O1241" i="5" s="1"/>
  <c r="G1237" i="5"/>
  <c r="I1237" i="5" s="1"/>
  <c r="K1237" i="5" s="1"/>
  <c r="M1237" i="5" s="1"/>
  <c r="O1237" i="5" s="1"/>
  <c r="I1238" i="5"/>
  <c r="K1238" i="5" s="1"/>
  <c r="M1238" i="5" s="1"/>
  <c r="O1238" i="5" s="1"/>
  <c r="G1244" i="5"/>
  <c r="G1248" i="5"/>
  <c r="I1248" i="5" s="1"/>
  <c r="K1248" i="5" s="1"/>
  <c r="M1248" i="5" s="1"/>
  <c r="O1248" i="5" s="1"/>
  <c r="A1249" i="5"/>
  <c r="A1260" i="5"/>
  <c r="A1258" i="5"/>
  <c r="A1245" i="5"/>
  <c r="A1248" i="5"/>
  <c r="A1259" i="5"/>
  <c r="A1257" i="5"/>
  <c r="A1246" i="5"/>
  <c r="G1218" i="5" l="1"/>
  <c r="I1218" i="5" s="1"/>
  <c r="K1218" i="5" s="1"/>
  <c r="M1218" i="5" s="1"/>
  <c r="O1218" i="5" s="1"/>
  <c r="G1243" i="5"/>
  <c r="I1244" i="5"/>
  <c r="K1244" i="5" s="1"/>
  <c r="M1244" i="5" s="1"/>
  <c r="O1244" i="5" s="1"/>
  <c r="G1246" i="5"/>
  <c r="I1246" i="5" s="1"/>
  <c r="K1246" i="5" s="1"/>
  <c r="M1246" i="5" s="1"/>
  <c r="O1246" i="5" s="1"/>
  <c r="G1260" i="5"/>
  <c r="A1264" i="5"/>
  <c r="A1263" i="5"/>
  <c r="A1265" i="5"/>
  <c r="A1261" i="5"/>
  <c r="A1262" i="5"/>
  <c r="G1259" i="5" l="1"/>
  <c r="I1260" i="5"/>
  <c r="K1260" i="5" s="1"/>
  <c r="M1260" i="5" s="1"/>
  <c r="O1260" i="5" s="1"/>
  <c r="G1236" i="5"/>
  <c r="I1236" i="5" s="1"/>
  <c r="K1236" i="5" s="1"/>
  <c r="M1236" i="5" s="1"/>
  <c r="O1236" i="5" s="1"/>
  <c r="I1243" i="5"/>
  <c r="K1243" i="5" s="1"/>
  <c r="M1243" i="5" s="1"/>
  <c r="O1243" i="5" s="1"/>
  <c r="A1266" i="5"/>
  <c r="G1235" i="5" l="1"/>
  <c r="G1234" i="5" s="1"/>
  <c r="I1234" i="5" s="1"/>
  <c r="K1234" i="5" s="1"/>
  <c r="M1234" i="5" s="1"/>
  <c r="O1234" i="5" s="1"/>
  <c r="G1258" i="5"/>
  <c r="I1259" i="5"/>
  <c r="K1259" i="5" s="1"/>
  <c r="M1259" i="5" s="1"/>
  <c r="O1259" i="5" s="1"/>
  <c r="G1266" i="5"/>
  <c r="I1266" i="5" s="1"/>
  <c r="K1266" i="5" s="1"/>
  <c r="M1266" i="5" s="1"/>
  <c r="O1266" i="5" s="1"/>
  <c r="A1270" i="5"/>
  <c r="A1268" i="5"/>
  <c r="A1269" i="5"/>
  <c r="I1235" i="5" l="1"/>
  <c r="K1235" i="5" s="1"/>
  <c r="M1235" i="5" s="1"/>
  <c r="O1235" i="5" s="1"/>
  <c r="G1257" i="5"/>
  <c r="I1257" i="5" s="1"/>
  <c r="K1257" i="5" s="1"/>
  <c r="M1257" i="5" s="1"/>
  <c r="O1257" i="5" s="1"/>
  <c r="I1258" i="5"/>
  <c r="K1258" i="5" s="1"/>
  <c r="M1258" i="5" s="1"/>
  <c r="O1258" i="5" s="1"/>
  <c r="G1265" i="5"/>
  <c r="G1270" i="5"/>
  <c r="A1277" i="5"/>
  <c r="A1272" i="5"/>
  <c r="A1271" i="5"/>
  <c r="A1275" i="5"/>
  <c r="A1276" i="5"/>
  <c r="A1274" i="5"/>
  <c r="G1269" i="5" l="1"/>
  <c r="I1270" i="5"/>
  <c r="K1270" i="5" s="1"/>
  <c r="M1270" i="5" s="1"/>
  <c r="O1270" i="5" s="1"/>
  <c r="G1264" i="5"/>
  <c r="I1265" i="5"/>
  <c r="K1265" i="5" s="1"/>
  <c r="M1265" i="5" s="1"/>
  <c r="O1265" i="5" s="1"/>
  <c r="G1277" i="5"/>
  <c r="G1281" i="5"/>
  <c r="G1287" i="5"/>
  <c r="G1294" i="5"/>
  <c r="I1294" i="5" s="1"/>
  <c r="K1294" i="5" s="1"/>
  <c r="M1294" i="5" s="1"/>
  <c r="O1294" i="5" s="1"/>
  <c r="G1296" i="5"/>
  <c r="I1296" i="5" s="1"/>
  <c r="K1296" i="5" s="1"/>
  <c r="M1296" i="5" s="1"/>
  <c r="O1296" i="5" s="1"/>
  <c r="G1299" i="5"/>
  <c r="I1299" i="5" s="1"/>
  <c r="K1299" i="5" s="1"/>
  <c r="M1299" i="5" s="1"/>
  <c r="O1299" i="5" s="1"/>
  <c r="G1301" i="5"/>
  <c r="I1301" i="5" s="1"/>
  <c r="K1301" i="5" s="1"/>
  <c r="M1301" i="5" s="1"/>
  <c r="O1301" i="5" s="1"/>
  <c r="G1304" i="5"/>
  <c r="G1313" i="5"/>
  <c r="I1313" i="5" s="1"/>
  <c r="K1313" i="5" s="1"/>
  <c r="M1313" i="5" s="1"/>
  <c r="O1313" i="5" s="1"/>
  <c r="A1280" i="5"/>
  <c r="A1309" i="5"/>
  <c r="A1291" i="5"/>
  <c r="A1297" i="5"/>
  <c r="A1312" i="5"/>
  <c r="A1307" i="5"/>
  <c r="A1279" i="5"/>
  <c r="A1286" i="5"/>
  <c r="A1310" i="5"/>
  <c r="A1301" i="5"/>
  <c r="A1306" i="5"/>
  <c r="A1300" i="5"/>
  <c r="A1313" i="5"/>
  <c r="A1305" i="5"/>
  <c r="A1293" i="5"/>
  <c r="A1289" i="5"/>
  <c r="A1314" i="5"/>
  <c r="A1298" i="5"/>
  <c r="A1284" i="5"/>
  <c r="A1281" i="5"/>
  <c r="A1311" i="5"/>
  <c r="A1296" i="5"/>
  <c r="A1285" i="5"/>
  <c r="A1295" i="5"/>
  <c r="A1302" i="5"/>
  <c r="A1294" i="5"/>
  <c r="A1292" i="5"/>
  <c r="A1282" i="5"/>
  <c r="A1304" i="5"/>
  <c r="A1299" i="5"/>
  <c r="A1278" i="5"/>
  <c r="A1288" i="5"/>
  <c r="A1287" i="5"/>
  <c r="A1303" i="5"/>
  <c r="G1280" i="5" l="1"/>
  <c r="I1281" i="5"/>
  <c r="K1281" i="5" s="1"/>
  <c r="M1281" i="5" s="1"/>
  <c r="O1281" i="5" s="1"/>
  <c r="G1263" i="5"/>
  <c r="I1264" i="5"/>
  <c r="K1264" i="5" s="1"/>
  <c r="M1264" i="5" s="1"/>
  <c r="O1264" i="5" s="1"/>
  <c r="G1303" i="5"/>
  <c r="I1303" i="5" s="1"/>
  <c r="K1303" i="5" s="1"/>
  <c r="M1303" i="5" s="1"/>
  <c r="O1303" i="5" s="1"/>
  <c r="I1304" i="5"/>
  <c r="K1304" i="5" s="1"/>
  <c r="M1304" i="5" s="1"/>
  <c r="O1304" i="5" s="1"/>
  <c r="G1268" i="5"/>
  <c r="I1269" i="5"/>
  <c r="K1269" i="5" s="1"/>
  <c r="M1269" i="5" s="1"/>
  <c r="O1269" i="5" s="1"/>
  <c r="G1286" i="5"/>
  <c r="I1287" i="5"/>
  <c r="K1287" i="5" s="1"/>
  <c r="M1287" i="5" s="1"/>
  <c r="O1287" i="5" s="1"/>
  <c r="G1276" i="5"/>
  <c r="I1277" i="5"/>
  <c r="K1277" i="5" s="1"/>
  <c r="M1277" i="5" s="1"/>
  <c r="O1277" i="5" s="1"/>
  <c r="G1293" i="5"/>
  <c r="I1293" i="5" s="1"/>
  <c r="K1293" i="5" s="1"/>
  <c r="M1293" i="5" s="1"/>
  <c r="O1293" i="5" s="1"/>
  <c r="G1298" i="5"/>
  <c r="I1298" i="5" s="1"/>
  <c r="K1298" i="5" s="1"/>
  <c r="M1298" i="5" s="1"/>
  <c r="O1298" i="5" s="1"/>
  <c r="G1312" i="5"/>
  <c r="I1312" i="5" s="1"/>
  <c r="K1312" i="5" s="1"/>
  <c r="M1312" i="5" s="1"/>
  <c r="O1312" i="5" s="1"/>
  <c r="G1314" i="5"/>
  <c r="I1314" i="5" s="1"/>
  <c r="K1314" i="5" s="1"/>
  <c r="M1314" i="5" s="1"/>
  <c r="O1314" i="5" s="1"/>
  <c r="G1321" i="5"/>
  <c r="A19" i="6"/>
  <c r="A1322" i="5"/>
  <c r="A1319" i="5"/>
  <c r="A1318" i="5"/>
  <c r="A1316" i="5"/>
  <c r="A1315" i="5"/>
  <c r="A17" i="6"/>
  <c r="A1320" i="5"/>
  <c r="A22" i="6"/>
  <c r="A21" i="6"/>
  <c r="A1321" i="5"/>
  <c r="A18" i="6"/>
  <c r="G1267" i="5" l="1"/>
  <c r="I1268" i="5"/>
  <c r="K1268" i="5" s="1"/>
  <c r="M1268" i="5" s="1"/>
  <c r="O1268" i="5" s="1"/>
  <c r="G1262" i="5"/>
  <c r="I1263" i="5"/>
  <c r="K1263" i="5" s="1"/>
  <c r="M1263" i="5" s="1"/>
  <c r="O1263" i="5" s="1"/>
  <c r="G1320" i="5"/>
  <c r="I1321" i="5"/>
  <c r="K1321" i="5" s="1"/>
  <c r="M1321" i="5" s="1"/>
  <c r="O1321" i="5" s="1"/>
  <c r="G1279" i="5"/>
  <c r="I1279" i="5" s="1"/>
  <c r="K1279" i="5" s="1"/>
  <c r="M1279" i="5" s="1"/>
  <c r="O1279" i="5" s="1"/>
  <c r="I1280" i="5"/>
  <c r="K1280" i="5" s="1"/>
  <c r="M1280" i="5" s="1"/>
  <c r="O1280" i="5" s="1"/>
  <c r="G1285" i="5"/>
  <c r="I1286" i="5"/>
  <c r="K1286" i="5" s="1"/>
  <c r="M1286" i="5" s="1"/>
  <c r="O1286" i="5" s="1"/>
  <c r="G1275" i="5"/>
  <c r="I1275" i="5" s="1"/>
  <c r="K1275" i="5" s="1"/>
  <c r="M1275" i="5" s="1"/>
  <c r="O1275" i="5" s="1"/>
  <c r="I1276" i="5"/>
  <c r="K1276" i="5" s="1"/>
  <c r="M1276" i="5" s="1"/>
  <c r="O1276" i="5" s="1"/>
  <c r="G1292" i="5"/>
  <c r="G1311" i="5"/>
  <c r="F22" i="6"/>
  <c r="A23" i="6"/>
  <c r="A27" i="6"/>
  <c r="A28" i="6"/>
  <c r="A25" i="6"/>
  <c r="A24" i="6"/>
  <c r="G1274" i="5" l="1"/>
  <c r="I1274" i="5" s="1"/>
  <c r="K1274" i="5" s="1"/>
  <c r="M1274" i="5" s="1"/>
  <c r="O1274" i="5" s="1"/>
  <c r="G1256" i="5"/>
  <c r="I1256" i="5" s="1"/>
  <c r="K1256" i="5" s="1"/>
  <c r="M1256" i="5" s="1"/>
  <c r="O1256" i="5" s="1"/>
  <c r="I1262" i="5"/>
  <c r="K1262" i="5" s="1"/>
  <c r="M1262" i="5" s="1"/>
  <c r="O1262" i="5" s="1"/>
  <c r="G1310" i="5"/>
  <c r="I1311" i="5"/>
  <c r="K1311" i="5" s="1"/>
  <c r="M1311" i="5" s="1"/>
  <c r="O1311" i="5" s="1"/>
  <c r="G1319" i="5"/>
  <c r="I1320" i="5"/>
  <c r="K1320" i="5" s="1"/>
  <c r="M1320" i="5" s="1"/>
  <c r="O1320" i="5" s="1"/>
  <c r="I1267" i="5"/>
  <c r="K1267" i="5" s="1"/>
  <c r="M1267" i="5" s="1"/>
  <c r="O1267" i="5" s="1"/>
  <c r="F21" i="6"/>
  <c r="H22" i="6"/>
  <c r="J22" i="6" s="1"/>
  <c r="L22" i="6" s="1"/>
  <c r="N22" i="6" s="1"/>
  <c r="G1291" i="5"/>
  <c r="I1292" i="5"/>
  <c r="K1292" i="5" s="1"/>
  <c r="M1292" i="5" s="1"/>
  <c r="O1292" i="5" s="1"/>
  <c r="G1284" i="5"/>
  <c r="I1285" i="5"/>
  <c r="K1285" i="5" s="1"/>
  <c r="M1285" i="5" s="1"/>
  <c r="O1285" i="5" s="1"/>
  <c r="F28" i="6"/>
  <c r="H28" i="6" s="1"/>
  <c r="J28" i="6" s="1"/>
  <c r="L28" i="6" s="1"/>
  <c r="N28" i="6" s="1"/>
  <c r="A29" i="6"/>
  <c r="G1273" i="5" l="1"/>
  <c r="I1273" i="5" s="1"/>
  <c r="K1273" i="5" s="1"/>
  <c r="M1273" i="5" s="1"/>
  <c r="O1273" i="5" s="1"/>
  <c r="G1217" i="5"/>
  <c r="I1217" i="5" s="1"/>
  <c r="K1217" i="5" s="1"/>
  <c r="M1217" i="5" s="1"/>
  <c r="O1217" i="5" s="1"/>
  <c r="G1309" i="5"/>
  <c r="I1310" i="5"/>
  <c r="K1310" i="5" s="1"/>
  <c r="M1310" i="5" s="1"/>
  <c r="O1310" i="5" s="1"/>
  <c r="G1318" i="5"/>
  <c r="I1319" i="5"/>
  <c r="K1319" i="5" s="1"/>
  <c r="M1319" i="5" s="1"/>
  <c r="O1319" i="5" s="1"/>
  <c r="F20" i="6"/>
  <c r="H21" i="6"/>
  <c r="J21" i="6" s="1"/>
  <c r="L21" i="6" s="1"/>
  <c r="N21" i="6" s="1"/>
  <c r="G1290" i="5"/>
  <c r="I1291" i="5"/>
  <c r="K1291" i="5" s="1"/>
  <c r="M1291" i="5" s="1"/>
  <c r="O1291" i="5" s="1"/>
  <c r="G1283" i="5"/>
  <c r="I1283" i="5" s="1"/>
  <c r="K1283" i="5" s="1"/>
  <c r="M1283" i="5" s="1"/>
  <c r="O1283" i="5" s="1"/>
  <c r="I1284" i="5"/>
  <c r="K1284" i="5" s="1"/>
  <c r="M1284" i="5" s="1"/>
  <c r="O1284" i="5" s="1"/>
  <c r="F29" i="6"/>
  <c r="F32" i="6"/>
  <c r="F37" i="6"/>
  <c r="H37" i="6" s="1"/>
  <c r="J37" i="6" s="1"/>
  <c r="L37" i="6" s="1"/>
  <c r="N37" i="6" s="1"/>
  <c r="A38" i="6"/>
  <c r="A37" i="6"/>
  <c r="A36" i="6"/>
  <c r="A32" i="6"/>
  <c r="A33" i="6"/>
  <c r="A31" i="6"/>
  <c r="A34" i="6"/>
  <c r="G1317" i="5" l="1"/>
  <c r="I1318" i="5"/>
  <c r="K1318" i="5" s="1"/>
  <c r="M1318" i="5" s="1"/>
  <c r="O1318" i="5" s="1"/>
  <c r="G1308" i="5"/>
  <c r="I1309" i="5"/>
  <c r="K1309" i="5" s="1"/>
  <c r="M1309" i="5" s="1"/>
  <c r="O1309" i="5" s="1"/>
  <c r="F19" i="6"/>
  <c r="H20" i="6"/>
  <c r="J20" i="6" s="1"/>
  <c r="L20" i="6" s="1"/>
  <c r="N20" i="6" s="1"/>
  <c r="F31" i="6"/>
  <c r="H32" i="6"/>
  <c r="J32" i="6" s="1"/>
  <c r="L32" i="6" s="1"/>
  <c r="N32" i="6" s="1"/>
  <c r="F27" i="6"/>
  <c r="H29" i="6"/>
  <c r="J29" i="6" s="1"/>
  <c r="L29" i="6" s="1"/>
  <c r="N29" i="6" s="1"/>
  <c r="I1290" i="5"/>
  <c r="K1290" i="5" s="1"/>
  <c r="M1290" i="5" s="1"/>
  <c r="O1290" i="5" s="1"/>
  <c r="G1289" i="5"/>
  <c r="I1289" i="5" s="1"/>
  <c r="K1289" i="5" s="1"/>
  <c r="M1289" i="5" s="1"/>
  <c r="O1289" i="5" s="1"/>
  <c r="G1272" i="5"/>
  <c r="I1272" i="5" s="1"/>
  <c r="K1272" i="5" s="1"/>
  <c r="M1272" i="5" s="1"/>
  <c r="O1272" i="5" s="1"/>
  <c r="F38" i="6"/>
  <c r="F43" i="6"/>
  <c r="F45" i="6"/>
  <c r="F47" i="6"/>
  <c r="F53" i="6"/>
  <c r="F55" i="6"/>
  <c r="F62" i="6"/>
  <c r="H62" i="6" s="1"/>
  <c r="J62" i="6" s="1"/>
  <c r="L62" i="6" s="1"/>
  <c r="N62" i="6" s="1"/>
  <c r="A62" i="6"/>
  <c r="A49" i="6"/>
  <c r="A46" i="6"/>
  <c r="A55" i="6"/>
  <c r="A53" i="6"/>
  <c r="A44" i="6"/>
  <c r="A59" i="6"/>
  <c r="A52" i="6"/>
  <c r="A50" i="6"/>
  <c r="A54" i="6"/>
  <c r="A39" i="6"/>
  <c r="A63" i="6"/>
  <c r="A48" i="6"/>
  <c r="A57" i="6"/>
  <c r="A40" i="6"/>
  <c r="A61" i="6"/>
  <c r="A47" i="6"/>
  <c r="A45" i="6"/>
  <c r="A43" i="6"/>
  <c r="A56" i="6"/>
  <c r="A58" i="6"/>
  <c r="A42" i="6"/>
  <c r="I1308" i="5" l="1"/>
  <c r="K1308" i="5" s="1"/>
  <c r="M1308" i="5" s="1"/>
  <c r="O1308" i="5" s="1"/>
  <c r="G1307" i="5"/>
  <c r="I1317" i="5"/>
  <c r="K1317" i="5" s="1"/>
  <c r="M1317" i="5" s="1"/>
  <c r="O1317" i="5" s="1"/>
  <c r="G1316" i="5"/>
  <c r="I1316" i="5" s="1"/>
  <c r="K1316" i="5" s="1"/>
  <c r="M1316" i="5" s="1"/>
  <c r="O1316" i="5" s="1"/>
  <c r="D45" i="1"/>
  <c r="F45" i="1" s="1"/>
  <c r="H45" i="1" s="1"/>
  <c r="J45" i="1" s="1"/>
  <c r="L45" i="1" s="1"/>
  <c r="F26" i="6"/>
  <c r="H27" i="6"/>
  <c r="J27" i="6" s="1"/>
  <c r="L27" i="6" s="1"/>
  <c r="N27" i="6" s="1"/>
  <c r="F18" i="6"/>
  <c r="H18" i="6" s="1"/>
  <c r="J18" i="6" s="1"/>
  <c r="L18" i="6" s="1"/>
  <c r="N18" i="6" s="1"/>
  <c r="H19" i="6"/>
  <c r="J19" i="6" s="1"/>
  <c r="L19" i="6" s="1"/>
  <c r="N19" i="6" s="1"/>
  <c r="F44" i="6"/>
  <c r="H44" i="6" s="1"/>
  <c r="J44" i="6" s="1"/>
  <c r="L44" i="6" s="1"/>
  <c r="N44" i="6" s="1"/>
  <c r="H45" i="6"/>
  <c r="J45" i="6" s="1"/>
  <c r="L45" i="6" s="1"/>
  <c r="N45" i="6" s="1"/>
  <c r="F52" i="6"/>
  <c r="H52" i="6" s="1"/>
  <c r="J52" i="6" s="1"/>
  <c r="L52" i="6" s="1"/>
  <c r="N52" i="6" s="1"/>
  <c r="H53" i="6"/>
  <c r="J53" i="6" s="1"/>
  <c r="L53" i="6" s="1"/>
  <c r="N53" i="6" s="1"/>
  <c r="F30" i="6"/>
  <c r="H30" i="6" s="1"/>
  <c r="J30" i="6" s="1"/>
  <c r="L30" i="6" s="1"/>
  <c r="N30" i="6" s="1"/>
  <c r="H31" i="6"/>
  <c r="J31" i="6" s="1"/>
  <c r="L31" i="6" s="1"/>
  <c r="N31" i="6" s="1"/>
  <c r="F46" i="6"/>
  <c r="H46" i="6" s="1"/>
  <c r="J46" i="6" s="1"/>
  <c r="L46" i="6" s="1"/>
  <c r="N46" i="6" s="1"/>
  <c r="H47" i="6"/>
  <c r="J47" i="6" s="1"/>
  <c r="L47" i="6" s="1"/>
  <c r="N47" i="6" s="1"/>
  <c r="F36" i="6"/>
  <c r="H38" i="6"/>
  <c r="J38" i="6" s="1"/>
  <c r="L38" i="6" s="1"/>
  <c r="N38" i="6" s="1"/>
  <c r="F54" i="6"/>
  <c r="H54" i="6" s="1"/>
  <c r="J54" i="6" s="1"/>
  <c r="L54" i="6" s="1"/>
  <c r="N54" i="6" s="1"/>
  <c r="H55" i="6"/>
  <c r="J55" i="6" s="1"/>
  <c r="L55" i="6" s="1"/>
  <c r="N55" i="6" s="1"/>
  <c r="F42" i="6"/>
  <c r="H42" i="6" s="1"/>
  <c r="J42" i="6" s="1"/>
  <c r="L42" i="6" s="1"/>
  <c r="N42" i="6" s="1"/>
  <c r="H43" i="6"/>
  <c r="J43" i="6" s="1"/>
  <c r="L43" i="6" s="1"/>
  <c r="N43" i="6" s="1"/>
  <c r="G1100" i="5"/>
  <c r="I1100" i="5" s="1"/>
  <c r="K1100" i="5" s="1"/>
  <c r="M1100" i="5" s="1"/>
  <c r="O1100" i="5" s="1"/>
  <c r="F63" i="6"/>
  <c r="F71" i="6"/>
  <c r="H71" i="6" s="1"/>
  <c r="J71" i="6" s="1"/>
  <c r="L71" i="6" s="1"/>
  <c r="N71" i="6" s="1"/>
  <c r="A67" i="6"/>
  <c r="A72" i="6"/>
  <c r="A68" i="6"/>
  <c r="A70" i="6"/>
  <c r="A71" i="6"/>
  <c r="G1306" i="5" l="1"/>
  <c r="I1306" i="5" s="1"/>
  <c r="K1306" i="5" s="1"/>
  <c r="M1306" i="5" s="1"/>
  <c r="O1306" i="5" s="1"/>
  <c r="I1307" i="5"/>
  <c r="K1307" i="5" s="1"/>
  <c r="M1307" i="5" s="1"/>
  <c r="O1307" i="5" s="1"/>
  <c r="F51" i="6"/>
  <c r="F50" i="6" s="1"/>
  <c r="F35" i="6"/>
  <c r="H36" i="6"/>
  <c r="J36" i="6" s="1"/>
  <c r="L36" i="6" s="1"/>
  <c r="N36" i="6" s="1"/>
  <c r="H26" i="6"/>
  <c r="J26" i="6" s="1"/>
  <c r="L26" i="6" s="1"/>
  <c r="N26" i="6" s="1"/>
  <c r="F25" i="6"/>
  <c r="F41" i="6"/>
  <c r="F61" i="6"/>
  <c r="H63" i="6"/>
  <c r="J63" i="6" s="1"/>
  <c r="L63" i="6" s="1"/>
  <c r="N63" i="6" s="1"/>
  <c r="F72" i="6"/>
  <c r="F75" i="6"/>
  <c r="H75" i="6" s="1"/>
  <c r="J75" i="6" s="1"/>
  <c r="L75" i="6" s="1"/>
  <c r="N75" i="6" s="1"/>
  <c r="A75" i="6"/>
  <c r="A76" i="6"/>
  <c r="A74" i="6"/>
  <c r="G1323" i="5" l="1"/>
  <c r="G1325" i="5" s="1"/>
  <c r="I1325" i="5" s="1"/>
  <c r="K1325" i="5" s="1"/>
  <c r="M1325" i="5" s="1"/>
  <c r="O1325" i="5" s="1"/>
  <c r="H51" i="6"/>
  <c r="J51" i="6" s="1"/>
  <c r="L51" i="6" s="1"/>
  <c r="N51" i="6" s="1"/>
  <c r="F49" i="6"/>
  <c r="H50" i="6"/>
  <c r="J50" i="6" s="1"/>
  <c r="L50" i="6" s="1"/>
  <c r="N50" i="6" s="1"/>
  <c r="F70" i="6"/>
  <c r="H72" i="6"/>
  <c r="J72" i="6" s="1"/>
  <c r="L72" i="6" s="1"/>
  <c r="N72" i="6" s="1"/>
  <c r="F40" i="6"/>
  <c r="H41" i="6"/>
  <c r="J41" i="6" s="1"/>
  <c r="L41" i="6" s="1"/>
  <c r="N41" i="6" s="1"/>
  <c r="F34" i="6"/>
  <c r="H35" i="6"/>
  <c r="J35" i="6" s="1"/>
  <c r="L35" i="6" s="1"/>
  <c r="N35" i="6" s="1"/>
  <c r="F60" i="6"/>
  <c r="H61" i="6"/>
  <c r="J61" i="6" s="1"/>
  <c r="L61" i="6" s="1"/>
  <c r="N61" i="6" s="1"/>
  <c r="F24" i="6"/>
  <c r="H25" i="6"/>
  <c r="J25" i="6" s="1"/>
  <c r="L25" i="6" s="1"/>
  <c r="N25" i="6" s="1"/>
  <c r="F76" i="6"/>
  <c r="F82" i="6"/>
  <c r="F113" i="6"/>
  <c r="H113" i="6" s="1"/>
  <c r="J113" i="6" s="1"/>
  <c r="L113" i="6" s="1"/>
  <c r="N113" i="6" s="1"/>
  <c r="A109" i="6"/>
  <c r="A114" i="6"/>
  <c r="A108" i="6"/>
  <c r="A107" i="6"/>
  <c r="A78" i="6"/>
  <c r="A77" i="6"/>
  <c r="A79" i="6"/>
  <c r="A82" i="6"/>
  <c r="A81" i="6"/>
  <c r="A112" i="6"/>
  <c r="A110" i="6"/>
  <c r="A113" i="6"/>
  <c r="I1323" i="5" l="1"/>
  <c r="K1323" i="5" s="1"/>
  <c r="M1323" i="5" s="1"/>
  <c r="O1323" i="5" s="1"/>
  <c r="F39" i="6"/>
  <c r="H39" i="6" s="1"/>
  <c r="J39" i="6" s="1"/>
  <c r="L39" i="6" s="1"/>
  <c r="N39" i="6" s="1"/>
  <c r="H40" i="6"/>
  <c r="J40" i="6" s="1"/>
  <c r="L40" i="6" s="1"/>
  <c r="N40" i="6" s="1"/>
  <c r="F74" i="6"/>
  <c r="H76" i="6"/>
  <c r="J76" i="6" s="1"/>
  <c r="L76" i="6" s="1"/>
  <c r="N76" i="6" s="1"/>
  <c r="F59" i="6"/>
  <c r="H60" i="6"/>
  <c r="J60" i="6" s="1"/>
  <c r="L60" i="6" s="1"/>
  <c r="N60" i="6" s="1"/>
  <c r="H24" i="6"/>
  <c r="J24" i="6" s="1"/>
  <c r="L24" i="6" s="1"/>
  <c r="N24" i="6" s="1"/>
  <c r="F69" i="6"/>
  <c r="H69" i="6" s="1"/>
  <c r="J69" i="6" s="1"/>
  <c r="L69" i="6" s="1"/>
  <c r="N69" i="6" s="1"/>
  <c r="H70" i="6"/>
  <c r="J70" i="6" s="1"/>
  <c r="L70" i="6" s="1"/>
  <c r="N70" i="6" s="1"/>
  <c r="F48" i="6"/>
  <c r="H48" i="6" s="1"/>
  <c r="J48" i="6" s="1"/>
  <c r="L48" i="6" s="1"/>
  <c r="N48" i="6" s="1"/>
  <c r="H49" i="6"/>
  <c r="J49" i="6" s="1"/>
  <c r="L49" i="6" s="1"/>
  <c r="N49" i="6" s="1"/>
  <c r="F81" i="6"/>
  <c r="H82" i="6"/>
  <c r="J82" i="6" s="1"/>
  <c r="L82" i="6" s="1"/>
  <c r="N82" i="6" s="1"/>
  <c r="F33" i="6"/>
  <c r="H33" i="6" s="1"/>
  <c r="J33" i="6" s="1"/>
  <c r="L33" i="6" s="1"/>
  <c r="N33" i="6" s="1"/>
  <c r="H34" i="6"/>
  <c r="J34" i="6" s="1"/>
  <c r="L34" i="6" s="1"/>
  <c r="N34" i="6" s="1"/>
  <c r="F114" i="6"/>
  <c r="F117" i="6"/>
  <c r="F123" i="6"/>
  <c r="H123" i="6" s="1"/>
  <c r="J123" i="6" s="1"/>
  <c r="L123" i="6" s="1"/>
  <c r="N123" i="6" s="1"/>
  <c r="A116" i="6"/>
  <c r="A119" i="6"/>
  <c r="A117" i="6"/>
  <c r="A123" i="6"/>
  <c r="A120" i="6"/>
  <c r="A124" i="6"/>
  <c r="A122" i="6"/>
  <c r="F58" i="6" l="1"/>
  <c r="H59" i="6"/>
  <c r="J59" i="6" s="1"/>
  <c r="L59" i="6" s="1"/>
  <c r="N59" i="6" s="1"/>
  <c r="F80" i="6"/>
  <c r="H81" i="6"/>
  <c r="J81" i="6" s="1"/>
  <c r="L81" i="6" s="1"/>
  <c r="N81" i="6" s="1"/>
  <c r="F112" i="6"/>
  <c r="H114" i="6"/>
  <c r="J114" i="6" s="1"/>
  <c r="L114" i="6" s="1"/>
  <c r="N114" i="6" s="1"/>
  <c r="F73" i="6"/>
  <c r="H74" i="6"/>
  <c r="J74" i="6" s="1"/>
  <c r="L74" i="6" s="1"/>
  <c r="N74" i="6" s="1"/>
  <c r="F116" i="6"/>
  <c r="H117" i="6"/>
  <c r="J117" i="6" s="1"/>
  <c r="L117" i="6" s="1"/>
  <c r="N117" i="6" s="1"/>
  <c r="F23" i="6"/>
  <c r="H23" i="6" s="1"/>
  <c r="J23" i="6" s="1"/>
  <c r="L23" i="6" s="1"/>
  <c r="N23" i="6" s="1"/>
  <c r="F124" i="6"/>
  <c r="F129" i="6"/>
  <c r="H129" i="6" s="1"/>
  <c r="J129" i="6" s="1"/>
  <c r="L129" i="6" s="1"/>
  <c r="N129" i="6" s="1"/>
  <c r="A130" i="6"/>
  <c r="A125" i="6"/>
  <c r="A126" i="6"/>
  <c r="A129" i="6"/>
  <c r="A128" i="6"/>
  <c r="F115" i="6" l="1"/>
  <c r="H115" i="6" s="1"/>
  <c r="J115" i="6" s="1"/>
  <c r="L115" i="6" s="1"/>
  <c r="N115" i="6" s="1"/>
  <c r="H116" i="6"/>
  <c r="J116" i="6" s="1"/>
  <c r="L116" i="6" s="1"/>
  <c r="N116" i="6" s="1"/>
  <c r="F111" i="6"/>
  <c r="H112" i="6"/>
  <c r="J112" i="6" s="1"/>
  <c r="L112" i="6" s="1"/>
  <c r="N112" i="6" s="1"/>
  <c r="F122" i="6"/>
  <c r="H124" i="6"/>
  <c r="J124" i="6" s="1"/>
  <c r="L124" i="6" s="1"/>
  <c r="N124" i="6" s="1"/>
  <c r="F57" i="6"/>
  <c r="H58" i="6"/>
  <c r="J58" i="6" s="1"/>
  <c r="L58" i="6" s="1"/>
  <c r="N58" i="6" s="1"/>
  <c r="F68" i="6"/>
  <c r="H73" i="6"/>
  <c r="J73" i="6" s="1"/>
  <c r="L73" i="6" s="1"/>
  <c r="N73" i="6" s="1"/>
  <c r="F79" i="6"/>
  <c r="H80" i="6"/>
  <c r="J80" i="6" s="1"/>
  <c r="L80" i="6" s="1"/>
  <c r="N80" i="6" s="1"/>
  <c r="F130" i="6"/>
  <c r="F136" i="6"/>
  <c r="H136" i="6" s="1"/>
  <c r="J136" i="6" s="1"/>
  <c r="L136" i="6" s="1"/>
  <c r="N136" i="6" s="1"/>
  <c r="A135" i="6"/>
  <c r="A137" i="6"/>
  <c r="A131" i="6"/>
  <c r="A136" i="6"/>
  <c r="A132" i="6"/>
  <c r="A133" i="6"/>
  <c r="F67" i="6" l="1"/>
  <c r="H67" i="6" s="1"/>
  <c r="J67" i="6" s="1"/>
  <c r="L67" i="6" s="1"/>
  <c r="N67" i="6" s="1"/>
  <c r="H68" i="6"/>
  <c r="J68" i="6" s="1"/>
  <c r="L68" i="6" s="1"/>
  <c r="N68" i="6" s="1"/>
  <c r="F128" i="6"/>
  <c r="H130" i="6"/>
  <c r="J130" i="6" s="1"/>
  <c r="L130" i="6" s="1"/>
  <c r="N130" i="6" s="1"/>
  <c r="F78" i="6"/>
  <c r="H79" i="6"/>
  <c r="J79" i="6" s="1"/>
  <c r="L79" i="6" s="1"/>
  <c r="N79" i="6" s="1"/>
  <c r="F110" i="6"/>
  <c r="H111" i="6"/>
  <c r="J111" i="6" s="1"/>
  <c r="L111" i="6" s="1"/>
  <c r="N111" i="6" s="1"/>
  <c r="F121" i="6"/>
  <c r="H122" i="6"/>
  <c r="J122" i="6" s="1"/>
  <c r="L122" i="6" s="1"/>
  <c r="N122" i="6" s="1"/>
  <c r="H57" i="6"/>
  <c r="J57" i="6" s="1"/>
  <c r="L57" i="6" s="1"/>
  <c r="N57" i="6" s="1"/>
  <c r="F137" i="6"/>
  <c r="F140" i="6"/>
  <c r="H140" i="6" s="1"/>
  <c r="J140" i="6" s="1"/>
  <c r="L140" i="6" s="1"/>
  <c r="N140" i="6" s="1"/>
  <c r="F145" i="6"/>
  <c r="F150" i="6"/>
  <c r="H150" i="6" s="1"/>
  <c r="J150" i="6" s="1"/>
  <c r="L150" i="6" s="1"/>
  <c r="N150" i="6" s="1"/>
  <c r="A144" i="6"/>
  <c r="A139" i="6"/>
  <c r="A145" i="6"/>
  <c r="A149" i="6"/>
  <c r="A146" i="6"/>
  <c r="A151" i="6"/>
  <c r="A150" i="6"/>
  <c r="A147" i="6"/>
  <c r="A140" i="6"/>
  <c r="A142" i="6"/>
  <c r="F77" i="6" l="1"/>
  <c r="H77" i="6" s="1"/>
  <c r="J77" i="6" s="1"/>
  <c r="L77" i="6" s="1"/>
  <c r="N77" i="6" s="1"/>
  <c r="H78" i="6"/>
  <c r="J78" i="6" s="1"/>
  <c r="L78" i="6" s="1"/>
  <c r="N78" i="6" s="1"/>
  <c r="F120" i="6"/>
  <c r="H121" i="6"/>
  <c r="J121" i="6" s="1"/>
  <c r="L121" i="6" s="1"/>
  <c r="N121" i="6" s="1"/>
  <c r="F144" i="6"/>
  <c r="H145" i="6"/>
  <c r="J145" i="6" s="1"/>
  <c r="L145" i="6" s="1"/>
  <c r="N145" i="6" s="1"/>
  <c r="H110" i="6"/>
  <c r="J110" i="6" s="1"/>
  <c r="L110" i="6" s="1"/>
  <c r="N110" i="6" s="1"/>
  <c r="F109" i="6"/>
  <c r="F127" i="6"/>
  <c r="H128" i="6"/>
  <c r="J128" i="6" s="1"/>
  <c r="L128" i="6" s="1"/>
  <c r="N128" i="6" s="1"/>
  <c r="F135" i="6"/>
  <c r="H137" i="6"/>
  <c r="J137" i="6" s="1"/>
  <c r="L137" i="6" s="1"/>
  <c r="N137" i="6" s="1"/>
  <c r="F56" i="6"/>
  <c r="H56" i="6" s="1"/>
  <c r="J56" i="6" s="1"/>
  <c r="L56" i="6" s="1"/>
  <c r="N56" i="6" s="1"/>
  <c r="F139" i="6"/>
  <c r="F151" i="6"/>
  <c r="F157" i="6"/>
  <c r="H157" i="6" s="1"/>
  <c r="J157" i="6" s="1"/>
  <c r="L157" i="6" s="1"/>
  <c r="N157" i="6" s="1"/>
  <c r="A158" i="6"/>
  <c r="A157" i="6"/>
  <c r="A154" i="6"/>
  <c r="A153" i="6"/>
  <c r="A156" i="6"/>
  <c r="A152" i="6"/>
  <c r="F143" i="6" l="1"/>
  <c r="H144" i="6"/>
  <c r="J144" i="6" s="1"/>
  <c r="L144" i="6" s="1"/>
  <c r="N144" i="6" s="1"/>
  <c r="F138" i="6"/>
  <c r="H139" i="6"/>
  <c r="J139" i="6" s="1"/>
  <c r="L139" i="6" s="1"/>
  <c r="N139" i="6" s="1"/>
  <c r="F149" i="6"/>
  <c r="H151" i="6"/>
  <c r="J151" i="6" s="1"/>
  <c r="L151" i="6" s="1"/>
  <c r="N151" i="6" s="1"/>
  <c r="F119" i="6"/>
  <c r="H119" i="6" s="1"/>
  <c r="J119" i="6" s="1"/>
  <c r="L119" i="6" s="1"/>
  <c r="N119" i="6" s="1"/>
  <c r="H120" i="6"/>
  <c r="J120" i="6" s="1"/>
  <c r="L120" i="6" s="1"/>
  <c r="N120" i="6" s="1"/>
  <c r="F126" i="6"/>
  <c r="H127" i="6"/>
  <c r="J127" i="6" s="1"/>
  <c r="L127" i="6" s="1"/>
  <c r="N127" i="6" s="1"/>
  <c r="F134" i="6"/>
  <c r="H134" i="6" s="1"/>
  <c r="J134" i="6" s="1"/>
  <c r="L134" i="6" s="1"/>
  <c r="N134" i="6" s="1"/>
  <c r="H135" i="6"/>
  <c r="J135" i="6" s="1"/>
  <c r="L135" i="6" s="1"/>
  <c r="N135" i="6" s="1"/>
  <c r="H109" i="6"/>
  <c r="J109" i="6" s="1"/>
  <c r="L109" i="6" s="1"/>
  <c r="N109" i="6" s="1"/>
  <c r="F158" i="6"/>
  <c r="F161" i="6"/>
  <c r="F166" i="6"/>
  <c r="F171" i="6"/>
  <c r="F181" i="6"/>
  <c r="F189" i="6"/>
  <c r="F192" i="6"/>
  <c r="F199" i="6"/>
  <c r="F204" i="6"/>
  <c r="F209" i="6"/>
  <c r="F216" i="6"/>
  <c r="F222" i="6"/>
  <c r="H222" i="6" s="1"/>
  <c r="J222" i="6" s="1"/>
  <c r="L222" i="6" s="1"/>
  <c r="N222" i="6" s="1"/>
  <c r="A199" i="6"/>
  <c r="A196" i="6"/>
  <c r="A192" i="6"/>
  <c r="A206" i="6"/>
  <c r="A182" i="6"/>
  <c r="A213" i="6"/>
  <c r="A223" i="6"/>
  <c r="A161" i="6"/>
  <c r="A221" i="6"/>
  <c r="A201" i="6"/>
  <c r="A211" i="6"/>
  <c r="A184" i="6"/>
  <c r="A204" i="6"/>
  <c r="A185" i="6"/>
  <c r="A166" i="6"/>
  <c r="A191" i="6"/>
  <c r="A170" i="6"/>
  <c r="A165" i="6"/>
  <c r="A181" i="6"/>
  <c r="A189" i="6"/>
  <c r="A208" i="6"/>
  <c r="A195" i="6"/>
  <c r="A203" i="6"/>
  <c r="A218" i="6"/>
  <c r="A222" i="6"/>
  <c r="A219" i="6"/>
  <c r="A198" i="6"/>
  <c r="A194" i="6"/>
  <c r="A188" i="6"/>
  <c r="A167" i="6"/>
  <c r="A160" i="6"/>
  <c r="A171" i="6"/>
  <c r="A183" i="6"/>
  <c r="A215" i="6"/>
  <c r="A200" i="6"/>
  <c r="A216" i="6"/>
  <c r="A193" i="6"/>
  <c r="A212" i="6"/>
  <c r="A178" i="6"/>
  <c r="A168" i="6"/>
  <c r="A163" i="6"/>
  <c r="A209" i="6"/>
  <c r="A217" i="6"/>
  <c r="A162" i="6"/>
  <c r="A186" i="6"/>
  <c r="A177" i="6"/>
  <c r="A180" i="6"/>
  <c r="A210" i="6"/>
  <c r="A205" i="6"/>
  <c r="F108" i="6" l="1"/>
  <c r="H108" i="6" s="1"/>
  <c r="J108" i="6" s="1"/>
  <c r="L108" i="6" s="1"/>
  <c r="N108" i="6" s="1"/>
  <c r="F160" i="6"/>
  <c r="H161" i="6"/>
  <c r="J161" i="6" s="1"/>
  <c r="L161" i="6" s="1"/>
  <c r="N161" i="6" s="1"/>
  <c r="F125" i="6"/>
  <c r="H125" i="6" s="1"/>
  <c r="J125" i="6" s="1"/>
  <c r="L125" i="6" s="1"/>
  <c r="N125" i="6" s="1"/>
  <c r="H126" i="6"/>
  <c r="J126" i="6" s="1"/>
  <c r="L126" i="6" s="1"/>
  <c r="N126" i="6" s="1"/>
  <c r="F148" i="6"/>
  <c r="H149" i="6"/>
  <c r="J149" i="6" s="1"/>
  <c r="L149" i="6" s="1"/>
  <c r="N149" i="6" s="1"/>
  <c r="F142" i="6"/>
  <c r="H142" i="6" s="1"/>
  <c r="J142" i="6" s="1"/>
  <c r="L142" i="6" s="1"/>
  <c r="N142" i="6" s="1"/>
  <c r="H143" i="6"/>
  <c r="J143" i="6" s="1"/>
  <c r="L143" i="6" s="1"/>
  <c r="N143" i="6" s="1"/>
  <c r="F208" i="6"/>
  <c r="H209" i="6"/>
  <c r="J209" i="6" s="1"/>
  <c r="L209" i="6" s="1"/>
  <c r="N209" i="6" s="1"/>
  <c r="F215" i="6"/>
  <c r="H216" i="6"/>
  <c r="J216" i="6" s="1"/>
  <c r="L216" i="6" s="1"/>
  <c r="N216" i="6" s="1"/>
  <c r="F165" i="6"/>
  <c r="H166" i="6"/>
  <c r="J166" i="6" s="1"/>
  <c r="L166" i="6" s="1"/>
  <c r="N166" i="6" s="1"/>
  <c r="F133" i="6"/>
  <c r="H138" i="6"/>
  <c r="J138" i="6" s="1"/>
  <c r="L138" i="6" s="1"/>
  <c r="N138" i="6" s="1"/>
  <c r="F188" i="6"/>
  <c r="H189" i="6"/>
  <c r="J189" i="6" s="1"/>
  <c r="L189" i="6" s="1"/>
  <c r="N189" i="6" s="1"/>
  <c r="F191" i="6"/>
  <c r="H192" i="6"/>
  <c r="J192" i="6" s="1"/>
  <c r="L192" i="6" s="1"/>
  <c r="N192" i="6" s="1"/>
  <c r="F198" i="6"/>
  <c r="H199" i="6"/>
  <c r="J199" i="6" s="1"/>
  <c r="L199" i="6" s="1"/>
  <c r="N199" i="6" s="1"/>
  <c r="F170" i="6"/>
  <c r="H171" i="6"/>
  <c r="J171" i="6" s="1"/>
  <c r="L171" i="6" s="1"/>
  <c r="N171" i="6" s="1"/>
  <c r="F203" i="6"/>
  <c r="H204" i="6"/>
  <c r="J204" i="6" s="1"/>
  <c r="L204" i="6" s="1"/>
  <c r="N204" i="6" s="1"/>
  <c r="F180" i="6"/>
  <c r="H181" i="6"/>
  <c r="J181" i="6" s="1"/>
  <c r="L181" i="6" s="1"/>
  <c r="N181" i="6" s="1"/>
  <c r="F156" i="6"/>
  <c r="H158" i="6"/>
  <c r="J158" i="6" s="1"/>
  <c r="L158" i="6" s="1"/>
  <c r="N158" i="6" s="1"/>
  <c r="F223" i="6"/>
  <c r="F226" i="6"/>
  <c r="F229" i="6"/>
  <c r="F234" i="6"/>
  <c r="F237" i="6"/>
  <c r="F242" i="6"/>
  <c r="H242" i="6" s="1"/>
  <c r="J242" i="6" s="1"/>
  <c r="L242" i="6" s="1"/>
  <c r="N242" i="6" s="1"/>
  <c r="A237" i="6"/>
  <c r="A242" i="6"/>
  <c r="A239" i="6"/>
  <c r="A225" i="6"/>
  <c r="A236" i="6"/>
  <c r="A233" i="6"/>
  <c r="A230" i="6"/>
  <c r="A226" i="6"/>
  <c r="A231" i="6"/>
  <c r="A234" i="6"/>
  <c r="A241" i="6"/>
  <c r="A229" i="6"/>
  <c r="A228" i="6"/>
  <c r="F164" i="6" l="1"/>
  <c r="H165" i="6"/>
  <c r="J165" i="6" s="1"/>
  <c r="L165" i="6" s="1"/>
  <c r="N165" i="6" s="1"/>
  <c r="F207" i="6"/>
  <c r="H208" i="6"/>
  <c r="J208" i="6" s="1"/>
  <c r="L208" i="6" s="1"/>
  <c r="N208" i="6" s="1"/>
  <c r="F147" i="6"/>
  <c r="H148" i="6"/>
  <c r="J148" i="6" s="1"/>
  <c r="L148" i="6" s="1"/>
  <c r="N148" i="6" s="1"/>
  <c r="F159" i="6"/>
  <c r="H159" i="6" s="1"/>
  <c r="J159" i="6" s="1"/>
  <c r="L159" i="6" s="1"/>
  <c r="N159" i="6" s="1"/>
  <c r="H160" i="6"/>
  <c r="J160" i="6" s="1"/>
  <c r="L160" i="6" s="1"/>
  <c r="N160" i="6" s="1"/>
  <c r="F155" i="6"/>
  <c r="H156" i="6"/>
  <c r="J156" i="6" s="1"/>
  <c r="L156" i="6" s="1"/>
  <c r="N156" i="6" s="1"/>
  <c r="F202" i="6"/>
  <c r="H203" i="6"/>
  <c r="J203" i="6" s="1"/>
  <c r="L203" i="6" s="1"/>
  <c r="N203" i="6" s="1"/>
  <c r="F197" i="6"/>
  <c r="H198" i="6"/>
  <c r="J198" i="6" s="1"/>
  <c r="L198" i="6" s="1"/>
  <c r="N198" i="6" s="1"/>
  <c r="F187" i="6"/>
  <c r="H188" i="6"/>
  <c r="J188" i="6" s="1"/>
  <c r="L188" i="6" s="1"/>
  <c r="N188" i="6" s="1"/>
  <c r="F228" i="6"/>
  <c r="H229" i="6"/>
  <c r="J229" i="6" s="1"/>
  <c r="L229" i="6" s="1"/>
  <c r="N229" i="6" s="1"/>
  <c r="F221" i="6"/>
  <c r="H223" i="6"/>
  <c r="J223" i="6" s="1"/>
  <c r="L223" i="6" s="1"/>
  <c r="N223" i="6" s="1"/>
  <c r="F132" i="6"/>
  <c r="H133" i="6"/>
  <c r="J133" i="6" s="1"/>
  <c r="L133" i="6" s="1"/>
  <c r="N133" i="6" s="1"/>
  <c r="F214" i="6"/>
  <c r="H215" i="6"/>
  <c r="J215" i="6" s="1"/>
  <c r="L215" i="6" s="1"/>
  <c r="N215" i="6" s="1"/>
  <c r="F233" i="6"/>
  <c r="H234" i="6"/>
  <c r="J234" i="6" s="1"/>
  <c r="L234" i="6" s="1"/>
  <c r="N234" i="6" s="1"/>
  <c r="F236" i="6"/>
  <c r="H237" i="6"/>
  <c r="J237" i="6" s="1"/>
  <c r="L237" i="6" s="1"/>
  <c r="N237" i="6" s="1"/>
  <c r="F225" i="6"/>
  <c r="H226" i="6"/>
  <c r="J226" i="6" s="1"/>
  <c r="L226" i="6" s="1"/>
  <c r="N226" i="6" s="1"/>
  <c r="F179" i="6"/>
  <c r="H180" i="6"/>
  <c r="J180" i="6" s="1"/>
  <c r="L180" i="6" s="1"/>
  <c r="N180" i="6" s="1"/>
  <c r="F169" i="6"/>
  <c r="H170" i="6"/>
  <c r="J170" i="6" s="1"/>
  <c r="L170" i="6" s="1"/>
  <c r="N170" i="6" s="1"/>
  <c r="F190" i="6"/>
  <c r="H190" i="6" s="1"/>
  <c r="J190" i="6" s="1"/>
  <c r="L190" i="6" s="1"/>
  <c r="N190" i="6" s="1"/>
  <c r="H191" i="6"/>
  <c r="J191" i="6" s="1"/>
  <c r="L191" i="6" s="1"/>
  <c r="N191" i="6" s="1"/>
  <c r="F270" i="6"/>
  <c r="F272" i="6"/>
  <c r="F277" i="6"/>
  <c r="F279" i="6"/>
  <c r="F281" i="6"/>
  <c r="F287" i="6"/>
  <c r="F292" i="6"/>
  <c r="F297" i="6"/>
  <c r="F302" i="6"/>
  <c r="F317" i="6"/>
  <c r="F322" i="6"/>
  <c r="F327" i="6"/>
  <c r="F338" i="6"/>
  <c r="H338" i="6" s="1"/>
  <c r="J338" i="6" s="1"/>
  <c r="L338" i="6" s="1"/>
  <c r="N338" i="6" s="1"/>
  <c r="A316" i="6"/>
  <c r="A279" i="6"/>
  <c r="A264" i="6"/>
  <c r="A317" i="6"/>
  <c r="A338" i="6"/>
  <c r="A286" i="6"/>
  <c r="A284" i="6"/>
  <c r="A281" i="6"/>
  <c r="A302" i="6"/>
  <c r="A314" i="6"/>
  <c r="A339" i="6"/>
  <c r="A283" i="6"/>
  <c r="A273" i="6"/>
  <c r="A327" i="6"/>
  <c r="A272" i="6"/>
  <c r="A324" i="6"/>
  <c r="A270" i="6"/>
  <c r="A333" i="6"/>
  <c r="A292" i="6"/>
  <c r="A297" i="6"/>
  <c r="A318" i="6"/>
  <c r="A289" i="6"/>
  <c r="A267" i="6"/>
  <c r="A301" i="6"/>
  <c r="A288" i="6"/>
  <c r="A323" i="6"/>
  <c r="A321" i="6"/>
  <c r="A335" i="6"/>
  <c r="A274" i="6"/>
  <c r="A319" i="6"/>
  <c r="A277" i="6"/>
  <c r="A271" i="6"/>
  <c r="A298" i="6"/>
  <c r="A299" i="6"/>
  <c r="A280" i="6"/>
  <c r="A322" i="6"/>
  <c r="A313" i="6"/>
  <c r="A265" i="6"/>
  <c r="A337" i="6"/>
  <c r="A282" i="6"/>
  <c r="A269" i="6"/>
  <c r="A293" i="6"/>
  <c r="A291" i="6"/>
  <c r="A296" i="6"/>
  <c r="A294" i="6"/>
  <c r="A287" i="6"/>
  <c r="A326" i="6"/>
  <c r="A276" i="6"/>
  <c r="A334" i="6"/>
  <c r="A278" i="6"/>
  <c r="A266" i="6"/>
  <c r="F269" i="6" l="1"/>
  <c r="H269" i="6" s="1"/>
  <c r="J269" i="6" s="1"/>
  <c r="L269" i="6" s="1"/>
  <c r="N269" i="6" s="1"/>
  <c r="H270" i="6"/>
  <c r="J270" i="6" s="1"/>
  <c r="L270" i="6" s="1"/>
  <c r="N270" i="6" s="1"/>
  <c r="F168" i="6"/>
  <c r="H169" i="6"/>
  <c r="J169" i="6" s="1"/>
  <c r="L169" i="6" s="1"/>
  <c r="N169" i="6" s="1"/>
  <c r="F224" i="6"/>
  <c r="H224" i="6" s="1"/>
  <c r="J224" i="6" s="1"/>
  <c r="L224" i="6" s="1"/>
  <c r="N224" i="6" s="1"/>
  <c r="H225" i="6"/>
  <c r="J225" i="6" s="1"/>
  <c r="L225" i="6" s="1"/>
  <c r="N225" i="6" s="1"/>
  <c r="F232" i="6"/>
  <c r="H233" i="6"/>
  <c r="J233" i="6" s="1"/>
  <c r="L233" i="6" s="1"/>
  <c r="N233" i="6" s="1"/>
  <c r="F131" i="6"/>
  <c r="H132" i="6"/>
  <c r="J132" i="6" s="1"/>
  <c r="L132" i="6" s="1"/>
  <c r="N132" i="6" s="1"/>
  <c r="F227" i="6"/>
  <c r="H227" i="6" s="1"/>
  <c r="J227" i="6" s="1"/>
  <c r="L227" i="6" s="1"/>
  <c r="N227" i="6" s="1"/>
  <c r="H228" i="6"/>
  <c r="J228" i="6" s="1"/>
  <c r="L228" i="6" s="1"/>
  <c r="N228" i="6" s="1"/>
  <c r="F196" i="6"/>
  <c r="H197" i="6"/>
  <c r="J197" i="6" s="1"/>
  <c r="L197" i="6" s="1"/>
  <c r="N197" i="6" s="1"/>
  <c r="H155" i="6"/>
  <c r="J155" i="6" s="1"/>
  <c r="L155" i="6" s="1"/>
  <c r="N155" i="6" s="1"/>
  <c r="F154" i="6"/>
  <c r="F146" i="6"/>
  <c r="H146" i="6" s="1"/>
  <c r="J146" i="6" s="1"/>
  <c r="L146" i="6" s="1"/>
  <c r="N146" i="6" s="1"/>
  <c r="H147" i="6"/>
  <c r="J147" i="6" s="1"/>
  <c r="L147" i="6" s="1"/>
  <c r="N147" i="6" s="1"/>
  <c r="F163" i="6"/>
  <c r="H164" i="6"/>
  <c r="J164" i="6" s="1"/>
  <c r="L164" i="6" s="1"/>
  <c r="N164" i="6" s="1"/>
  <c r="F316" i="6"/>
  <c r="H317" i="6"/>
  <c r="J317" i="6" s="1"/>
  <c r="L317" i="6" s="1"/>
  <c r="N317" i="6" s="1"/>
  <c r="F271" i="6"/>
  <c r="H271" i="6" s="1"/>
  <c r="J271" i="6" s="1"/>
  <c r="L271" i="6" s="1"/>
  <c r="N271" i="6" s="1"/>
  <c r="H272" i="6"/>
  <c r="J272" i="6" s="1"/>
  <c r="L272" i="6" s="1"/>
  <c r="N272" i="6" s="1"/>
  <c r="F280" i="6"/>
  <c r="H280" i="6" s="1"/>
  <c r="J280" i="6" s="1"/>
  <c r="L280" i="6" s="1"/>
  <c r="N280" i="6" s="1"/>
  <c r="H281" i="6"/>
  <c r="J281" i="6" s="1"/>
  <c r="L281" i="6" s="1"/>
  <c r="N281" i="6" s="1"/>
  <c r="F291" i="6"/>
  <c r="H292" i="6"/>
  <c r="J292" i="6" s="1"/>
  <c r="L292" i="6" s="1"/>
  <c r="N292" i="6" s="1"/>
  <c r="F178" i="6"/>
  <c r="H179" i="6"/>
  <c r="J179" i="6" s="1"/>
  <c r="L179" i="6" s="1"/>
  <c r="N179" i="6" s="1"/>
  <c r="F235" i="6"/>
  <c r="H235" i="6" s="1"/>
  <c r="J235" i="6" s="1"/>
  <c r="L235" i="6" s="1"/>
  <c r="N235" i="6" s="1"/>
  <c r="H236" i="6"/>
  <c r="J236" i="6" s="1"/>
  <c r="L236" i="6" s="1"/>
  <c r="N236" i="6" s="1"/>
  <c r="F213" i="6"/>
  <c r="H214" i="6"/>
  <c r="J214" i="6" s="1"/>
  <c r="L214" i="6" s="1"/>
  <c r="N214" i="6" s="1"/>
  <c r="F220" i="6"/>
  <c r="H221" i="6"/>
  <c r="J221" i="6" s="1"/>
  <c r="L221" i="6" s="1"/>
  <c r="N221" i="6" s="1"/>
  <c r="H187" i="6"/>
  <c r="J187" i="6" s="1"/>
  <c r="L187" i="6" s="1"/>
  <c r="N187" i="6" s="1"/>
  <c r="F186" i="6"/>
  <c r="F201" i="6"/>
  <c r="H202" i="6"/>
  <c r="J202" i="6" s="1"/>
  <c r="L202" i="6" s="1"/>
  <c r="N202" i="6" s="1"/>
  <c r="F206" i="6"/>
  <c r="H207" i="6"/>
  <c r="J207" i="6" s="1"/>
  <c r="L207" i="6" s="1"/>
  <c r="N207" i="6" s="1"/>
  <c r="F301" i="6"/>
  <c r="H302" i="6"/>
  <c r="J302" i="6" s="1"/>
  <c r="L302" i="6" s="1"/>
  <c r="N302" i="6" s="1"/>
  <c r="F286" i="6"/>
  <c r="H287" i="6"/>
  <c r="J287" i="6" s="1"/>
  <c r="L287" i="6" s="1"/>
  <c r="N287" i="6" s="1"/>
  <c r="F321" i="6"/>
  <c r="H322" i="6"/>
  <c r="J322" i="6" s="1"/>
  <c r="L322" i="6" s="1"/>
  <c r="N322" i="6" s="1"/>
  <c r="F276" i="6"/>
  <c r="H276" i="6" s="1"/>
  <c r="J276" i="6" s="1"/>
  <c r="L276" i="6" s="1"/>
  <c r="N276" i="6" s="1"/>
  <c r="H277" i="6"/>
  <c r="J277" i="6" s="1"/>
  <c r="L277" i="6" s="1"/>
  <c r="N277" i="6" s="1"/>
  <c r="F326" i="6"/>
  <c r="H327" i="6"/>
  <c r="J327" i="6" s="1"/>
  <c r="L327" i="6" s="1"/>
  <c r="N327" i="6" s="1"/>
  <c r="F296" i="6"/>
  <c r="H297" i="6"/>
  <c r="J297" i="6" s="1"/>
  <c r="L297" i="6" s="1"/>
  <c r="N297" i="6" s="1"/>
  <c r="F278" i="6"/>
  <c r="H278" i="6" s="1"/>
  <c r="J278" i="6" s="1"/>
  <c r="L278" i="6" s="1"/>
  <c r="N278" i="6" s="1"/>
  <c r="H279" i="6"/>
  <c r="J279" i="6" s="1"/>
  <c r="L279" i="6" s="1"/>
  <c r="N279" i="6" s="1"/>
  <c r="F241" i="6"/>
  <c r="F339" i="6"/>
  <c r="F344" i="6"/>
  <c r="F349" i="6"/>
  <c r="F354" i="6"/>
  <c r="F360" i="6"/>
  <c r="F365" i="6"/>
  <c r="F369" i="6"/>
  <c r="F374" i="6"/>
  <c r="F380" i="6"/>
  <c r="F385" i="6"/>
  <c r="F391" i="6"/>
  <c r="F396" i="6"/>
  <c r="H396" i="6" s="1"/>
  <c r="J396" i="6" s="1"/>
  <c r="L396" i="6" s="1"/>
  <c r="N396" i="6" s="1"/>
  <c r="A379" i="6"/>
  <c r="A354" i="6"/>
  <c r="A346" i="6"/>
  <c r="A371" i="6"/>
  <c r="A365" i="6"/>
  <c r="A357" i="6"/>
  <c r="A397" i="6"/>
  <c r="A344" i="6"/>
  <c r="A350" i="6"/>
  <c r="A370" i="6"/>
  <c r="A373" i="6"/>
  <c r="A380" i="6"/>
  <c r="A375" i="6"/>
  <c r="A355" i="6"/>
  <c r="A392" i="6"/>
  <c r="A376" i="6"/>
  <c r="A374" i="6"/>
  <c r="A362" i="6"/>
  <c r="A348" i="6"/>
  <c r="A341" i="6"/>
  <c r="A364" i="6"/>
  <c r="A368" i="6"/>
  <c r="A393" i="6"/>
  <c r="A377" i="6"/>
  <c r="A361" i="6"/>
  <c r="A356" i="6"/>
  <c r="A359" i="6"/>
  <c r="A391" i="6"/>
  <c r="A382" i="6"/>
  <c r="A396" i="6"/>
  <c r="A369" i="6"/>
  <c r="A395" i="6"/>
  <c r="A351" i="6"/>
  <c r="A353" i="6"/>
  <c r="A360" i="6"/>
  <c r="A340" i="6"/>
  <c r="A345" i="6"/>
  <c r="A366" i="6"/>
  <c r="A386" i="6"/>
  <c r="A390" i="6"/>
  <c r="A349" i="6"/>
  <c r="A384" i="6"/>
  <c r="A343" i="6"/>
  <c r="A387" i="6"/>
  <c r="A385" i="6"/>
  <c r="A381" i="6"/>
  <c r="F268" i="6" l="1"/>
  <c r="F267" i="6" s="1"/>
  <c r="F368" i="6"/>
  <c r="H369" i="6"/>
  <c r="J369" i="6" s="1"/>
  <c r="L369" i="6" s="1"/>
  <c r="N369" i="6" s="1"/>
  <c r="F295" i="6"/>
  <c r="H296" i="6"/>
  <c r="J296" i="6" s="1"/>
  <c r="L296" i="6" s="1"/>
  <c r="N296" i="6" s="1"/>
  <c r="F205" i="6"/>
  <c r="H205" i="6" s="1"/>
  <c r="J205" i="6" s="1"/>
  <c r="L205" i="6" s="1"/>
  <c r="N205" i="6" s="1"/>
  <c r="H206" i="6"/>
  <c r="J206" i="6" s="1"/>
  <c r="L206" i="6" s="1"/>
  <c r="N206" i="6" s="1"/>
  <c r="F212" i="6"/>
  <c r="H213" i="6"/>
  <c r="J213" i="6" s="1"/>
  <c r="L213" i="6" s="1"/>
  <c r="N213" i="6" s="1"/>
  <c r="F177" i="6"/>
  <c r="H177" i="6" s="1"/>
  <c r="J177" i="6" s="1"/>
  <c r="L177" i="6" s="1"/>
  <c r="N177" i="6" s="1"/>
  <c r="H178" i="6"/>
  <c r="J178" i="6" s="1"/>
  <c r="L178" i="6" s="1"/>
  <c r="N178" i="6" s="1"/>
  <c r="F315" i="6"/>
  <c r="H316" i="6"/>
  <c r="J316" i="6" s="1"/>
  <c r="L316" i="6" s="1"/>
  <c r="N316" i="6" s="1"/>
  <c r="F195" i="6"/>
  <c r="H196" i="6"/>
  <c r="J196" i="6" s="1"/>
  <c r="L196" i="6" s="1"/>
  <c r="N196" i="6" s="1"/>
  <c r="H131" i="6"/>
  <c r="J131" i="6" s="1"/>
  <c r="L131" i="6" s="1"/>
  <c r="N131" i="6" s="1"/>
  <c r="F107" i="6"/>
  <c r="H107" i="6" s="1"/>
  <c r="J107" i="6" s="1"/>
  <c r="L107" i="6" s="1"/>
  <c r="N107" i="6" s="1"/>
  <c r="F240" i="6"/>
  <c r="H241" i="6"/>
  <c r="J241" i="6" s="1"/>
  <c r="L241" i="6" s="1"/>
  <c r="N241" i="6" s="1"/>
  <c r="F373" i="6"/>
  <c r="H374" i="6"/>
  <c r="J374" i="6" s="1"/>
  <c r="L374" i="6" s="1"/>
  <c r="N374" i="6" s="1"/>
  <c r="F353" i="6"/>
  <c r="H354" i="6"/>
  <c r="J354" i="6" s="1"/>
  <c r="L354" i="6" s="1"/>
  <c r="N354" i="6" s="1"/>
  <c r="F185" i="6"/>
  <c r="H186" i="6"/>
  <c r="J186" i="6" s="1"/>
  <c r="L186" i="6" s="1"/>
  <c r="N186" i="6" s="1"/>
  <c r="F348" i="6"/>
  <c r="H349" i="6"/>
  <c r="J349" i="6" s="1"/>
  <c r="L349" i="6" s="1"/>
  <c r="N349" i="6" s="1"/>
  <c r="F379" i="6"/>
  <c r="H380" i="6"/>
  <c r="J380" i="6" s="1"/>
  <c r="L380" i="6" s="1"/>
  <c r="N380" i="6" s="1"/>
  <c r="F337" i="6"/>
  <c r="H339" i="6"/>
  <c r="J339" i="6" s="1"/>
  <c r="L339" i="6" s="1"/>
  <c r="N339" i="6" s="1"/>
  <c r="F325" i="6"/>
  <c r="H326" i="6"/>
  <c r="J326" i="6" s="1"/>
  <c r="L326" i="6" s="1"/>
  <c r="N326" i="6" s="1"/>
  <c r="F320" i="6"/>
  <c r="H321" i="6"/>
  <c r="J321" i="6" s="1"/>
  <c r="L321" i="6" s="1"/>
  <c r="N321" i="6" s="1"/>
  <c r="F300" i="6"/>
  <c r="H301" i="6"/>
  <c r="J301" i="6" s="1"/>
  <c r="L301" i="6" s="1"/>
  <c r="N301" i="6" s="1"/>
  <c r="F200" i="6"/>
  <c r="H200" i="6" s="1"/>
  <c r="J200" i="6" s="1"/>
  <c r="L200" i="6" s="1"/>
  <c r="N200" i="6" s="1"/>
  <c r="H201" i="6"/>
  <c r="J201" i="6" s="1"/>
  <c r="L201" i="6" s="1"/>
  <c r="N201" i="6" s="1"/>
  <c r="H220" i="6"/>
  <c r="J220" i="6" s="1"/>
  <c r="L220" i="6" s="1"/>
  <c r="N220" i="6" s="1"/>
  <c r="F219" i="6"/>
  <c r="F290" i="6"/>
  <c r="H291" i="6"/>
  <c r="J291" i="6" s="1"/>
  <c r="L291" i="6" s="1"/>
  <c r="N291" i="6" s="1"/>
  <c r="F162" i="6"/>
  <c r="H162" i="6" s="1"/>
  <c r="J162" i="6" s="1"/>
  <c r="L162" i="6" s="1"/>
  <c r="N162" i="6" s="1"/>
  <c r="H163" i="6"/>
  <c r="J163" i="6" s="1"/>
  <c r="L163" i="6" s="1"/>
  <c r="N163" i="6" s="1"/>
  <c r="H232" i="6"/>
  <c r="J232" i="6" s="1"/>
  <c r="L232" i="6" s="1"/>
  <c r="N232" i="6" s="1"/>
  <c r="F231" i="6"/>
  <c r="F167" i="6"/>
  <c r="H167" i="6" s="1"/>
  <c r="J167" i="6" s="1"/>
  <c r="L167" i="6" s="1"/>
  <c r="N167" i="6" s="1"/>
  <c r="H168" i="6"/>
  <c r="J168" i="6" s="1"/>
  <c r="L168" i="6" s="1"/>
  <c r="N168" i="6" s="1"/>
  <c r="F390" i="6"/>
  <c r="H391" i="6"/>
  <c r="J391" i="6" s="1"/>
  <c r="L391" i="6" s="1"/>
  <c r="N391" i="6" s="1"/>
  <c r="F285" i="6"/>
  <c r="H286" i="6"/>
  <c r="J286" i="6" s="1"/>
  <c r="L286" i="6" s="1"/>
  <c r="N286" i="6" s="1"/>
  <c r="F359" i="6"/>
  <c r="H360" i="6"/>
  <c r="J360" i="6" s="1"/>
  <c r="L360" i="6" s="1"/>
  <c r="N360" i="6" s="1"/>
  <c r="F384" i="6"/>
  <c r="H385" i="6"/>
  <c r="J385" i="6" s="1"/>
  <c r="L385" i="6" s="1"/>
  <c r="N385" i="6" s="1"/>
  <c r="F364" i="6"/>
  <c r="H365" i="6"/>
  <c r="J365" i="6" s="1"/>
  <c r="L365" i="6" s="1"/>
  <c r="N365" i="6" s="1"/>
  <c r="F343" i="6"/>
  <c r="H344" i="6"/>
  <c r="J344" i="6" s="1"/>
  <c r="L344" i="6" s="1"/>
  <c r="N344" i="6" s="1"/>
  <c r="F153" i="6"/>
  <c r="H154" i="6"/>
  <c r="J154" i="6" s="1"/>
  <c r="L154" i="6" s="1"/>
  <c r="N154" i="6" s="1"/>
  <c r="F275" i="6"/>
  <c r="F397" i="6"/>
  <c r="F400" i="6"/>
  <c r="F405" i="6"/>
  <c r="H405" i="6" s="1"/>
  <c r="J405" i="6" s="1"/>
  <c r="L405" i="6" s="1"/>
  <c r="N405" i="6" s="1"/>
  <c r="A400" i="6"/>
  <c r="A404" i="6"/>
  <c r="A401" i="6"/>
  <c r="A402" i="6"/>
  <c r="A399" i="6"/>
  <c r="A405" i="6"/>
  <c r="A406" i="6"/>
  <c r="H268" i="6" l="1"/>
  <c r="J268" i="6" s="1"/>
  <c r="L268" i="6" s="1"/>
  <c r="N268" i="6" s="1"/>
  <c r="F383" i="6"/>
  <c r="H384" i="6"/>
  <c r="J384" i="6" s="1"/>
  <c r="L384" i="6" s="1"/>
  <c r="N384" i="6" s="1"/>
  <c r="F289" i="6"/>
  <c r="H290" i="6"/>
  <c r="J290" i="6" s="1"/>
  <c r="L290" i="6" s="1"/>
  <c r="N290" i="6" s="1"/>
  <c r="F319" i="6"/>
  <c r="H320" i="6"/>
  <c r="J320" i="6" s="1"/>
  <c r="L320" i="6" s="1"/>
  <c r="N320" i="6" s="1"/>
  <c r="F336" i="6"/>
  <c r="H337" i="6"/>
  <c r="J337" i="6" s="1"/>
  <c r="L337" i="6" s="1"/>
  <c r="N337" i="6" s="1"/>
  <c r="F347" i="6"/>
  <c r="H348" i="6"/>
  <c r="J348" i="6" s="1"/>
  <c r="L348" i="6" s="1"/>
  <c r="N348" i="6" s="1"/>
  <c r="F352" i="6"/>
  <c r="H353" i="6"/>
  <c r="J353" i="6" s="1"/>
  <c r="L353" i="6" s="1"/>
  <c r="N353" i="6" s="1"/>
  <c r="F239" i="6"/>
  <c r="H240" i="6"/>
  <c r="J240" i="6" s="1"/>
  <c r="L240" i="6" s="1"/>
  <c r="N240" i="6" s="1"/>
  <c r="H195" i="6"/>
  <c r="J195" i="6" s="1"/>
  <c r="L195" i="6" s="1"/>
  <c r="N195" i="6" s="1"/>
  <c r="F194" i="6"/>
  <c r="F367" i="6"/>
  <c r="H368" i="6"/>
  <c r="J368" i="6" s="1"/>
  <c r="L368" i="6" s="1"/>
  <c r="N368" i="6" s="1"/>
  <c r="F274" i="6"/>
  <c r="H275" i="6"/>
  <c r="J275" i="6" s="1"/>
  <c r="L275" i="6" s="1"/>
  <c r="N275" i="6" s="1"/>
  <c r="F342" i="6"/>
  <c r="H343" i="6"/>
  <c r="J343" i="6" s="1"/>
  <c r="L343" i="6" s="1"/>
  <c r="N343" i="6" s="1"/>
  <c r="F230" i="6"/>
  <c r="H230" i="6" s="1"/>
  <c r="J230" i="6" s="1"/>
  <c r="L230" i="6" s="1"/>
  <c r="N230" i="6" s="1"/>
  <c r="H231" i="6"/>
  <c r="J231" i="6" s="1"/>
  <c r="L231" i="6" s="1"/>
  <c r="N231" i="6" s="1"/>
  <c r="F395" i="6"/>
  <c r="H397" i="6"/>
  <c r="J397" i="6" s="1"/>
  <c r="L397" i="6" s="1"/>
  <c r="N397" i="6" s="1"/>
  <c r="F284" i="6"/>
  <c r="H285" i="6"/>
  <c r="J285" i="6" s="1"/>
  <c r="L285" i="6" s="1"/>
  <c r="N285" i="6" s="1"/>
  <c r="F152" i="6"/>
  <c r="H152" i="6" s="1"/>
  <c r="J152" i="6" s="1"/>
  <c r="L152" i="6" s="1"/>
  <c r="N152" i="6" s="1"/>
  <c r="H153" i="6"/>
  <c r="J153" i="6" s="1"/>
  <c r="L153" i="6" s="1"/>
  <c r="N153" i="6" s="1"/>
  <c r="F363" i="6"/>
  <c r="H364" i="6"/>
  <c r="J364" i="6" s="1"/>
  <c r="L364" i="6" s="1"/>
  <c r="N364" i="6" s="1"/>
  <c r="F358" i="6"/>
  <c r="H359" i="6"/>
  <c r="J359" i="6" s="1"/>
  <c r="L359" i="6" s="1"/>
  <c r="N359" i="6" s="1"/>
  <c r="F266" i="6"/>
  <c r="H267" i="6"/>
  <c r="J267" i="6" s="1"/>
  <c r="L267" i="6" s="1"/>
  <c r="N267" i="6" s="1"/>
  <c r="F299" i="6"/>
  <c r="H300" i="6"/>
  <c r="J300" i="6" s="1"/>
  <c r="L300" i="6" s="1"/>
  <c r="N300" i="6" s="1"/>
  <c r="F324" i="6"/>
  <c r="H325" i="6"/>
  <c r="J325" i="6" s="1"/>
  <c r="L325" i="6" s="1"/>
  <c r="N325" i="6" s="1"/>
  <c r="F378" i="6"/>
  <c r="H379" i="6"/>
  <c r="J379" i="6" s="1"/>
  <c r="L379" i="6" s="1"/>
  <c r="N379" i="6" s="1"/>
  <c r="F184" i="6"/>
  <c r="H185" i="6"/>
  <c r="J185" i="6" s="1"/>
  <c r="L185" i="6" s="1"/>
  <c r="N185" i="6" s="1"/>
  <c r="F372" i="6"/>
  <c r="H373" i="6"/>
  <c r="J373" i="6" s="1"/>
  <c r="L373" i="6" s="1"/>
  <c r="N373" i="6" s="1"/>
  <c r="F314" i="6"/>
  <c r="H315" i="6"/>
  <c r="J315" i="6" s="1"/>
  <c r="L315" i="6" s="1"/>
  <c r="N315" i="6" s="1"/>
  <c r="F211" i="6"/>
  <c r="H212" i="6"/>
  <c r="J212" i="6" s="1"/>
  <c r="L212" i="6" s="1"/>
  <c r="N212" i="6" s="1"/>
  <c r="F294" i="6"/>
  <c r="H295" i="6"/>
  <c r="J295" i="6" s="1"/>
  <c r="L295" i="6" s="1"/>
  <c r="N295" i="6" s="1"/>
  <c r="F389" i="6"/>
  <c r="H390" i="6"/>
  <c r="J390" i="6" s="1"/>
  <c r="L390" i="6" s="1"/>
  <c r="N390" i="6" s="1"/>
  <c r="F399" i="6"/>
  <c r="H400" i="6"/>
  <c r="J400" i="6" s="1"/>
  <c r="L400" i="6" s="1"/>
  <c r="N400" i="6" s="1"/>
  <c r="F218" i="6"/>
  <c r="H219" i="6"/>
  <c r="J219" i="6" s="1"/>
  <c r="L219" i="6" s="1"/>
  <c r="N219" i="6" s="1"/>
  <c r="F406" i="6"/>
  <c r="F409" i="6"/>
  <c r="H409" i="6" s="1"/>
  <c r="J409" i="6" s="1"/>
  <c r="L409" i="6" s="1"/>
  <c r="N409" i="6" s="1"/>
  <c r="A408" i="6"/>
  <c r="A410" i="6"/>
  <c r="A409" i="6"/>
  <c r="H218" i="6" l="1"/>
  <c r="J218" i="6" s="1"/>
  <c r="L218" i="6" s="1"/>
  <c r="N218" i="6" s="1"/>
  <c r="F377" i="6"/>
  <c r="H378" i="6"/>
  <c r="J378" i="6" s="1"/>
  <c r="L378" i="6" s="1"/>
  <c r="N378" i="6" s="1"/>
  <c r="F394" i="6"/>
  <c r="H395" i="6"/>
  <c r="J395" i="6" s="1"/>
  <c r="L395" i="6" s="1"/>
  <c r="N395" i="6" s="1"/>
  <c r="F341" i="6"/>
  <c r="H342" i="6"/>
  <c r="J342" i="6" s="1"/>
  <c r="L342" i="6" s="1"/>
  <c r="N342" i="6" s="1"/>
  <c r="F366" i="6"/>
  <c r="H366" i="6" s="1"/>
  <c r="J366" i="6" s="1"/>
  <c r="L366" i="6" s="1"/>
  <c r="N366" i="6" s="1"/>
  <c r="H367" i="6"/>
  <c r="J367" i="6" s="1"/>
  <c r="L367" i="6" s="1"/>
  <c r="N367" i="6" s="1"/>
  <c r="F238" i="6"/>
  <c r="H238" i="6" s="1"/>
  <c r="J238" i="6" s="1"/>
  <c r="L238" i="6" s="1"/>
  <c r="N238" i="6" s="1"/>
  <c r="H239" i="6"/>
  <c r="J239" i="6" s="1"/>
  <c r="L239" i="6" s="1"/>
  <c r="N239" i="6" s="1"/>
  <c r="F346" i="6"/>
  <c r="H347" i="6"/>
  <c r="J347" i="6" s="1"/>
  <c r="L347" i="6" s="1"/>
  <c r="N347" i="6" s="1"/>
  <c r="F318" i="6"/>
  <c r="H318" i="6" s="1"/>
  <c r="J318" i="6" s="1"/>
  <c r="L318" i="6" s="1"/>
  <c r="N318" i="6" s="1"/>
  <c r="H319" i="6"/>
  <c r="J319" i="6" s="1"/>
  <c r="L319" i="6" s="1"/>
  <c r="N319" i="6" s="1"/>
  <c r="F382" i="6"/>
  <c r="H383" i="6"/>
  <c r="J383" i="6" s="1"/>
  <c r="L383" i="6" s="1"/>
  <c r="N383" i="6" s="1"/>
  <c r="F404" i="6"/>
  <c r="H406" i="6"/>
  <c r="J406" i="6" s="1"/>
  <c r="L406" i="6" s="1"/>
  <c r="N406" i="6" s="1"/>
  <c r="F210" i="6"/>
  <c r="H210" i="6" s="1"/>
  <c r="J210" i="6" s="1"/>
  <c r="L210" i="6" s="1"/>
  <c r="N210" i="6" s="1"/>
  <c r="H211" i="6"/>
  <c r="J211" i="6" s="1"/>
  <c r="L211" i="6" s="1"/>
  <c r="N211" i="6" s="1"/>
  <c r="F357" i="6"/>
  <c r="H358" i="6"/>
  <c r="J358" i="6" s="1"/>
  <c r="L358" i="6" s="1"/>
  <c r="N358" i="6" s="1"/>
  <c r="F398" i="6"/>
  <c r="H398" i="6" s="1"/>
  <c r="J398" i="6" s="1"/>
  <c r="L398" i="6" s="1"/>
  <c r="N398" i="6" s="1"/>
  <c r="H399" i="6"/>
  <c r="J399" i="6" s="1"/>
  <c r="L399" i="6" s="1"/>
  <c r="N399" i="6" s="1"/>
  <c r="F313" i="6"/>
  <c r="H313" i="6" s="1"/>
  <c r="J313" i="6" s="1"/>
  <c r="L313" i="6" s="1"/>
  <c r="N313" i="6" s="1"/>
  <c r="H314" i="6"/>
  <c r="J314" i="6" s="1"/>
  <c r="L314" i="6" s="1"/>
  <c r="N314" i="6" s="1"/>
  <c r="F323" i="6"/>
  <c r="H323" i="6" s="1"/>
  <c r="J323" i="6" s="1"/>
  <c r="L323" i="6" s="1"/>
  <c r="N323" i="6" s="1"/>
  <c r="H324" i="6"/>
  <c r="J324" i="6" s="1"/>
  <c r="L324" i="6" s="1"/>
  <c r="N324" i="6" s="1"/>
  <c r="F265" i="6"/>
  <c r="H266" i="6"/>
  <c r="J266" i="6" s="1"/>
  <c r="L266" i="6" s="1"/>
  <c r="N266" i="6" s="1"/>
  <c r="F362" i="6"/>
  <c r="H363" i="6"/>
  <c r="J363" i="6" s="1"/>
  <c r="L363" i="6" s="1"/>
  <c r="N363" i="6" s="1"/>
  <c r="F283" i="6"/>
  <c r="H284" i="6"/>
  <c r="J284" i="6" s="1"/>
  <c r="L284" i="6" s="1"/>
  <c r="N284" i="6" s="1"/>
  <c r="F273" i="6"/>
  <c r="H273" i="6" s="1"/>
  <c r="J273" i="6" s="1"/>
  <c r="L273" i="6" s="1"/>
  <c r="N273" i="6" s="1"/>
  <c r="H274" i="6"/>
  <c r="J274" i="6" s="1"/>
  <c r="L274" i="6" s="1"/>
  <c r="N274" i="6" s="1"/>
  <c r="F351" i="6"/>
  <c r="H352" i="6"/>
  <c r="J352" i="6" s="1"/>
  <c r="L352" i="6" s="1"/>
  <c r="N352" i="6" s="1"/>
  <c r="F335" i="6"/>
  <c r="H336" i="6"/>
  <c r="J336" i="6" s="1"/>
  <c r="L336" i="6" s="1"/>
  <c r="N336" i="6" s="1"/>
  <c r="F288" i="6"/>
  <c r="H288" i="6" s="1"/>
  <c r="J288" i="6" s="1"/>
  <c r="L288" i="6" s="1"/>
  <c r="N288" i="6" s="1"/>
  <c r="H289" i="6"/>
  <c r="J289" i="6" s="1"/>
  <c r="L289" i="6" s="1"/>
  <c r="N289" i="6" s="1"/>
  <c r="F388" i="6"/>
  <c r="H389" i="6"/>
  <c r="J389" i="6" s="1"/>
  <c r="L389" i="6" s="1"/>
  <c r="N389" i="6" s="1"/>
  <c r="F371" i="6"/>
  <c r="H372" i="6"/>
  <c r="J372" i="6" s="1"/>
  <c r="L372" i="6" s="1"/>
  <c r="N372" i="6" s="1"/>
  <c r="F298" i="6"/>
  <c r="H298" i="6" s="1"/>
  <c r="H299" i="6"/>
  <c r="J299" i="6" s="1"/>
  <c r="F293" i="6"/>
  <c r="H293" i="6" s="1"/>
  <c r="J293" i="6" s="1"/>
  <c r="L293" i="6" s="1"/>
  <c r="N293" i="6" s="1"/>
  <c r="H294" i="6"/>
  <c r="J294" i="6" s="1"/>
  <c r="L294" i="6" s="1"/>
  <c r="N294" i="6" s="1"/>
  <c r="F183" i="6"/>
  <c r="H184" i="6"/>
  <c r="J184" i="6" s="1"/>
  <c r="L184" i="6" s="1"/>
  <c r="N184" i="6" s="1"/>
  <c r="F193" i="6"/>
  <c r="H193" i="6" s="1"/>
  <c r="J193" i="6" s="1"/>
  <c r="L193" i="6" s="1"/>
  <c r="N193" i="6" s="1"/>
  <c r="H194" i="6"/>
  <c r="J194" i="6" s="1"/>
  <c r="L194" i="6" s="1"/>
  <c r="N194" i="6" s="1"/>
  <c r="F410" i="6"/>
  <c r="F415" i="6"/>
  <c r="F417" i="6"/>
  <c r="F422" i="6"/>
  <c r="H422" i="6" s="1"/>
  <c r="J422" i="6" s="1"/>
  <c r="L422" i="6" s="1"/>
  <c r="N422" i="6" s="1"/>
  <c r="A421" i="6"/>
  <c r="A423" i="6"/>
  <c r="A412" i="6"/>
  <c r="A414" i="6"/>
  <c r="A417" i="6"/>
  <c r="A419" i="6"/>
  <c r="A415" i="6"/>
  <c r="A411" i="6"/>
  <c r="A416" i="6"/>
  <c r="A422" i="6"/>
  <c r="A418" i="6"/>
  <c r="J298" i="6" l="1"/>
  <c r="L299" i="6"/>
  <c r="N299" i="6" s="1"/>
  <c r="F217" i="6"/>
  <c r="H217" i="6" s="1"/>
  <c r="J217" i="6" s="1"/>
  <c r="L217" i="6" s="1"/>
  <c r="N217" i="6" s="1"/>
  <c r="F408" i="6"/>
  <c r="H410" i="6"/>
  <c r="J410" i="6" s="1"/>
  <c r="L410" i="6" s="1"/>
  <c r="N410" i="6" s="1"/>
  <c r="F381" i="6"/>
  <c r="H382" i="6"/>
  <c r="J382" i="6" s="1"/>
  <c r="L382" i="6" s="1"/>
  <c r="N382" i="6" s="1"/>
  <c r="F345" i="6"/>
  <c r="H345" i="6" s="1"/>
  <c r="J345" i="6" s="1"/>
  <c r="L345" i="6" s="1"/>
  <c r="N345" i="6" s="1"/>
  <c r="H346" i="6"/>
  <c r="J346" i="6" s="1"/>
  <c r="L346" i="6" s="1"/>
  <c r="N346" i="6" s="1"/>
  <c r="H394" i="6"/>
  <c r="J394" i="6" s="1"/>
  <c r="L394" i="6" s="1"/>
  <c r="N394" i="6" s="1"/>
  <c r="F393" i="6"/>
  <c r="F387" i="6"/>
  <c r="H387" i="6" s="1"/>
  <c r="J387" i="6" s="1"/>
  <c r="L387" i="6" s="1"/>
  <c r="N387" i="6" s="1"/>
  <c r="H388" i="6"/>
  <c r="J388" i="6" s="1"/>
  <c r="L388" i="6" s="1"/>
  <c r="N388" i="6" s="1"/>
  <c r="H362" i="6"/>
  <c r="J362" i="6" s="1"/>
  <c r="L362" i="6" s="1"/>
  <c r="N362" i="6" s="1"/>
  <c r="F361" i="6"/>
  <c r="F416" i="6"/>
  <c r="H416" i="6" s="1"/>
  <c r="J416" i="6" s="1"/>
  <c r="L416" i="6" s="1"/>
  <c r="N416" i="6" s="1"/>
  <c r="H417" i="6"/>
  <c r="J417" i="6" s="1"/>
  <c r="L417" i="6" s="1"/>
  <c r="N417" i="6" s="1"/>
  <c r="F350" i="6"/>
  <c r="H350" i="6" s="1"/>
  <c r="J350" i="6" s="1"/>
  <c r="L350" i="6" s="1"/>
  <c r="N350" i="6" s="1"/>
  <c r="H351" i="6"/>
  <c r="J351" i="6" s="1"/>
  <c r="L351" i="6" s="1"/>
  <c r="N351" i="6" s="1"/>
  <c r="H283" i="6"/>
  <c r="J283" i="6" s="1"/>
  <c r="L283" i="6" s="1"/>
  <c r="N283" i="6" s="1"/>
  <c r="F282" i="6"/>
  <c r="H282" i="6" s="1"/>
  <c r="J282" i="6" s="1"/>
  <c r="L282" i="6" s="1"/>
  <c r="N282" i="6" s="1"/>
  <c r="H265" i="6"/>
  <c r="J265" i="6" s="1"/>
  <c r="L265" i="6" s="1"/>
  <c r="N265" i="6" s="1"/>
  <c r="F356" i="6"/>
  <c r="H356" i="6" s="1"/>
  <c r="J356" i="6" s="1"/>
  <c r="L356" i="6" s="1"/>
  <c r="N356" i="6" s="1"/>
  <c r="H357" i="6"/>
  <c r="J357" i="6" s="1"/>
  <c r="L357" i="6" s="1"/>
  <c r="N357" i="6" s="1"/>
  <c r="F403" i="6"/>
  <c r="H403" i="6" s="1"/>
  <c r="J403" i="6" s="1"/>
  <c r="L403" i="6" s="1"/>
  <c r="N403" i="6" s="1"/>
  <c r="H404" i="6"/>
  <c r="J404" i="6" s="1"/>
  <c r="L404" i="6" s="1"/>
  <c r="N404" i="6" s="1"/>
  <c r="F340" i="6"/>
  <c r="H340" i="6" s="1"/>
  <c r="J340" i="6" s="1"/>
  <c r="L340" i="6" s="1"/>
  <c r="N340" i="6" s="1"/>
  <c r="H341" i="6"/>
  <c r="J341" i="6" s="1"/>
  <c r="L341" i="6" s="1"/>
  <c r="N341" i="6" s="1"/>
  <c r="F376" i="6"/>
  <c r="H376" i="6" s="1"/>
  <c r="J376" i="6" s="1"/>
  <c r="L376" i="6" s="1"/>
  <c r="N376" i="6" s="1"/>
  <c r="H377" i="6"/>
  <c r="J377" i="6" s="1"/>
  <c r="L377" i="6" s="1"/>
  <c r="N377" i="6" s="1"/>
  <c r="H183" i="6"/>
  <c r="J183" i="6" s="1"/>
  <c r="L183" i="6" s="1"/>
  <c r="N183" i="6" s="1"/>
  <c r="F182" i="6"/>
  <c r="H182" i="6" s="1"/>
  <c r="J182" i="6" s="1"/>
  <c r="L182" i="6" s="1"/>
  <c r="N182" i="6" s="1"/>
  <c r="F334" i="6"/>
  <c r="H335" i="6"/>
  <c r="J335" i="6" s="1"/>
  <c r="L335" i="6" s="1"/>
  <c r="N335" i="6" s="1"/>
  <c r="F414" i="6"/>
  <c r="H414" i="6" s="1"/>
  <c r="J414" i="6" s="1"/>
  <c r="L414" i="6" s="1"/>
  <c r="N414" i="6" s="1"/>
  <c r="H415" i="6"/>
  <c r="J415" i="6" s="1"/>
  <c r="L415" i="6" s="1"/>
  <c r="N415" i="6" s="1"/>
  <c r="F370" i="6"/>
  <c r="H370" i="6" s="1"/>
  <c r="J370" i="6" s="1"/>
  <c r="L370" i="6" s="1"/>
  <c r="N370" i="6" s="1"/>
  <c r="H371" i="6"/>
  <c r="J371" i="6" s="1"/>
  <c r="L371" i="6" s="1"/>
  <c r="N371" i="6" s="1"/>
  <c r="F423" i="6"/>
  <c r="F429" i="6"/>
  <c r="F431" i="6"/>
  <c r="F436" i="6"/>
  <c r="F443" i="6"/>
  <c r="F445" i="6"/>
  <c r="F447" i="6"/>
  <c r="F451" i="6"/>
  <c r="F456" i="6"/>
  <c r="F458" i="6"/>
  <c r="F464" i="6"/>
  <c r="F467" i="6"/>
  <c r="F470" i="6"/>
  <c r="F475" i="6"/>
  <c r="F481" i="6"/>
  <c r="F483" i="6"/>
  <c r="F487" i="6"/>
  <c r="H487" i="6" s="1"/>
  <c r="J487" i="6" s="1"/>
  <c r="L487" i="6" s="1"/>
  <c r="N487" i="6" s="1"/>
  <c r="F489" i="6"/>
  <c r="H489" i="6" s="1"/>
  <c r="J489" i="6" s="1"/>
  <c r="L489" i="6" s="1"/>
  <c r="N489" i="6" s="1"/>
  <c r="F496" i="6"/>
  <c r="F502" i="6"/>
  <c r="F508" i="6"/>
  <c r="F513" i="6"/>
  <c r="F523" i="6"/>
  <c r="F528" i="6"/>
  <c r="F534" i="6"/>
  <c r="F539" i="6"/>
  <c r="F544" i="6"/>
  <c r="F550" i="6"/>
  <c r="F552" i="6"/>
  <c r="F557" i="6"/>
  <c r="F562" i="6"/>
  <c r="F565" i="6"/>
  <c r="F567" i="6"/>
  <c r="F569" i="6"/>
  <c r="F575" i="6"/>
  <c r="H575" i="6" s="1"/>
  <c r="J575" i="6" s="1"/>
  <c r="L575" i="6" s="1"/>
  <c r="N575" i="6" s="1"/>
  <c r="F576" i="6"/>
  <c r="H576" i="6" s="1"/>
  <c r="J576" i="6" s="1"/>
  <c r="L576" i="6" s="1"/>
  <c r="N576" i="6" s="1"/>
  <c r="F581" i="6"/>
  <c r="F587" i="6"/>
  <c r="F591" i="6"/>
  <c r="F597" i="6"/>
  <c r="F602" i="6"/>
  <c r="F631" i="6"/>
  <c r="F637" i="6"/>
  <c r="F639" i="6"/>
  <c r="F644" i="6"/>
  <c r="F646" i="6"/>
  <c r="F653" i="6"/>
  <c r="F660" i="6"/>
  <c r="F667" i="6"/>
  <c r="F674" i="6"/>
  <c r="F679" i="6"/>
  <c r="F681" i="6"/>
  <c r="F686" i="6"/>
  <c r="F692" i="6"/>
  <c r="F694" i="6"/>
  <c r="F696" i="6"/>
  <c r="F701" i="6"/>
  <c r="F708" i="6"/>
  <c r="F713" i="6"/>
  <c r="F725" i="6"/>
  <c r="F730" i="6"/>
  <c r="F746" i="6"/>
  <c r="L298" i="6" l="1"/>
  <c r="N298" i="6" s="1"/>
  <c r="F413" i="6"/>
  <c r="F412" i="6" s="1"/>
  <c r="F17" i="6"/>
  <c r="H17" i="6" s="1"/>
  <c r="J17" i="6" s="1"/>
  <c r="L17" i="6" s="1"/>
  <c r="N17" i="6" s="1"/>
  <c r="F691" i="6"/>
  <c r="H691" i="6" s="1"/>
  <c r="J691" i="6" s="1"/>
  <c r="L691" i="6" s="1"/>
  <c r="N691" i="6" s="1"/>
  <c r="H692" i="6"/>
  <c r="J692" i="6" s="1"/>
  <c r="L692" i="6" s="1"/>
  <c r="N692" i="6" s="1"/>
  <c r="F630" i="6"/>
  <c r="H631" i="6"/>
  <c r="J631" i="6" s="1"/>
  <c r="L631" i="6" s="1"/>
  <c r="N631" i="6" s="1"/>
  <c r="F568" i="6"/>
  <c r="H568" i="6" s="1"/>
  <c r="J568" i="6" s="1"/>
  <c r="L568" i="6" s="1"/>
  <c r="N568" i="6" s="1"/>
  <c r="H569" i="6"/>
  <c r="J569" i="6" s="1"/>
  <c r="L569" i="6" s="1"/>
  <c r="N569" i="6" s="1"/>
  <c r="F556" i="6"/>
  <c r="H557" i="6"/>
  <c r="J557" i="6" s="1"/>
  <c r="L557" i="6" s="1"/>
  <c r="N557" i="6" s="1"/>
  <c r="F538" i="6"/>
  <c r="H539" i="6"/>
  <c r="J539" i="6" s="1"/>
  <c r="L539" i="6" s="1"/>
  <c r="N539" i="6" s="1"/>
  <c r="F512" i="6"/>
  <c r="H513" i="6"/>
  <c r="J513" i="6" s="1"/>
  <c r="L513" i="6" s="1"/>
  <c r="N513" i="6" s="1"/>
  <c r="F474" i="6"/>
  <c r="H475" i="6"/>
  <c r="J475" i="6" s="1"/>
  <c r="L475" i="6" s="1"/>
  <c r="N475" i="6" s="1"/>
  <c r="F457" i="6"/>
  <c r="H457" i="6" s="1"/>
  <c r="J457" i="6" s="1"/>
  <c r="L457" i="6" s="1"/>
  <c r="N457" i="6" s="1"/>
  <c r="H458" i="6"/>
  <c r="J458" i="6" s="1"/>
  <c r="L458" i="6" s="1"/>
  <c r="N458" i="6" s="1"/>
  <c r="F444" i="6"/>
  <c r="H444" i="6" s="1"/>
  <c r="J444" i="6" s="1"/>
  <c r="L444" i="6" s="1"/>
  <c r="N444" i="6" s="1"/>
  <c r="H445" i="6"/>
  <c r="J445" i="6" s="1"/>
  <c r="L445" i="6" s="1"/>
  <c r="N445" i="6" s="1"/>
  <c r="F428" i="6"/>
  <c r="H428" i="6" s="1"/>
  <c r="J428" i="6" s="1"/>
  <c r="L428" i="6" s="1"/>
  <c r="N428" i="6" s="1"/>
  <c r="H429" i="6"/>
  <c r="J429" i="6" s="1"/>
  <c r="L429" i="6" s="1"/>
  <c r="N429" i="6" s="1"/>
  <c r="H334" i="6"/>
  <c r="J334" i="6" s="1"/>
  <c r="L334" i="6" s="1"/>
  <c r="N334" i="6" s="1"/>
  <c r="F333" i="6"/>
  <c r="F407" i="6"/>
  <c r="H408" i="6"/>
  <c r="J408" i="6" s="1"/>
  <c r="L408" i="6" s="1"/>
  <c r="N408" i="6" s="1"/>
  <c r="F645" i="6"/>
  <c r="H645" i="6" s="1"/>
  <c r="J645" i="6" s="1"/>
  <c r="L645" i="6" s="1"/>
  <c r="N645" i="6" s="1"/>
  <c r="H646" i="6"/>
  <c r="J646" i="6" s="1"/>
  <c r="L646" i="6" s="1"/>
  <c r="N646" i="6" s="1"/>
  <c r="F712" i="6"/>
  <c r="H713" i="6"/>
  <c r="J713" i="6" s="1"/>
  <c r="L713" i="6" s="1"/>
  <c r="N713" i="6" s="1"/>
  <c r="F693" i="6"/>
  <c r="H693" i="6" s="1"/>
  <c r="J693" i="6" s="1"/>
  <c r="L693" i="6" s="1"/>
  <c r="N693" i="6" s="1"/>
  <c r="H694" i="6"/>
  <c r="J694" i="6" s="1"/>
  <c r="L694" i="6" s="1"/>
  <c r="N694" i="6" s="1"/>
  <c r="F678" i="6"/>
  <c r="H678" i="6" s="1"/>
  <c r="J678" i="6" s="1"/>
  <c r="L678" i="6" s="1"/>
  <c r="N678" i="6" s="1"/>
  <c r="H679" i="6"/>
  <c r="J679" i="6" s="1"/>
  <c r="L679" i="6" s="1"/>
  <c r="N679" i="6" s="1"/>
  <c r="F652" i="6"/>
  <c r="H653" i="6"/>
  <c r="J653" i="6" s="1"/>
  <c r="L653" i="6" s="1"/>
  <c r="N653" i="6" s="1"/>
  <c r="F636" i="6"/>
  <c r="H636" i="6" s="1"/>
  <c r="J636" i="6" s="1"/>
  <c r="L636" i="6" s="1"/>
  <c r="N636" i="6" s="1"/>
  <c r="H637" i="6"/>
  <c r="J637" i="6" s="1"/>
  <c r="L637" i="6" s="1"/>
  <c r="N637" i="6" s="1"/>
  <c r="F590" i="6"/>
  <c r="H591" i="6"/>
  <c r="J591" i="6" s="1"/>
  <c r="L591" i="6" s="1"/>
  <c r="N591" i="6" s="1"/>
  <c r="F561" i="6"/>
  <c r="H562" i="6"/>
  <c r="J562" i="6" s="1"/>
  <c r="L562" i="6" s="1"/>
  <c r="N562" i="6" s="1"/>
  <c r="F543" i="6"/>
  <c r="H544" i="6"/>
  <c r="J544" i="6" s="1"/>
  <c r="L544" i="6" s="1"/>
  <c r="N544" i="6" s="1"/>
  <c r="F522" i="6"/>
  <c r="H523" i="6"/>
  <c r="J523" i="6" s="1"/>
  <c r="L523" i="6" s="1"/>
  <c r="N523" i="6" s="1"/>
  <c r="F495" i="6"/>
  <c r="H496" i="6"/>
  <c r="J496" i="6" s="1"/>
  <c r="L496" i="6" s="1"/>
  <c r="N496" i="6" s="1"/>
  <c r="F480" i="6"/>
  <c r="H480" i="6" s="1"/>
  <c r="J480" i="6" s="1"/>
  <c r="L480" i="6" s="1"/>
  <c r="N480" i="6" s="1"/>
  <c r="H481" i="6"/>
  <c r="J481" i="6" s="1"/>
  <c r="L481" i="6" s="1"/>
  <c r="N481" i="6" s="1"/>
  <c r="F463" i="6"/>
  <c r="H464" i="6"/>
  <c r="J464" i="6" s="1"/>
  <c r="L464" i="6" s="1"/>
  <c r="N464" i="6" s="1"/>
  <c r="F446" i="6"/>
  <c r="H446" i="6" s="1"/>
  <c r="J446" i="6" s="1"/>
  <c r="L446" i="6" s="1"/>
  <c r="N446" i="6" s="1"/>
  <c r="H447" i="6"/>
  <c r="J447" i="6" s="1"/>
  <c r="L447" i="6" s="1"/>
  <c r="N447" i="6" s="1"/>
  <c r="F430" i="6"/>
  <c r="H430" i="6" s="1"/>
  <c r="J430" i="6" s="1"/>
  <c r="L430" i="6" s="1"/>
  <c r="N430" i="6" s="1"/>
  <c r="H431" i="6"/>
  <c r="J431" i="6" s="1"/>
  <c r="L431" i="6" s="1"/>
  <c r="N431" i="6" s="1"/>
  <c r="F707" i="6"/>
  <c r="H708" i="6"/>
  <c r="J708" i="6" s="1"/>
  <c r="L708" i="6" s="1"/>
  <c r="N708" i="6" s="1"/>
  <c r="F673" i="6"/>
  <c r="H674" i="6"/>
  <c r="J674" i="6" s="1"/>
  <c r="L674" i="6" s="1"/>
  <c r="N674" i="6" s="1"/>
  <c r="F724" i="6"/>
  <c r="H725" i="6"/>
  <c r="J725" i="6" s="1"/>
  <c r="L725" i="6" s="1"/>
  <c r="N725" i="6" s="1"/>
  <c r="F680" i="6"/>
  <c r="H680" i="6" s="1"/>
  <c r="J680" i="6" s="1"/>
  <c r="L680" i="6" s="1"/>
  <c r="N680" i="6" s="1"/>
  <c r="H681" i="6"/>
  <c r="J681" i="6" s="1"/>
  <c r="L681" i="6" s="1"/>
  <c r="N681" i="6" s="1"/>
  <c r="F659" i="6"/>
  <c r="H660" i="6"/>
  <c r="J660" i="6" s="1"/>
  <c r="L660" i="6" s="1"/>
  <c r="N660" i="6" s="1"/>
  <c r="F638" i="6"/>
  <c r="H638" i="6" s="1"/>
  <c r="J638" i="6" s="1"/>
  <c r="L638" i="6" s="1"/>
  <c r="N638" i="6" s="1"/>
  <c r="H639" i="6"/>
  <c r="J639" i="6" s="1"/>
  <c r="L639" i="6" s="1"/>
  <c r="N639" i="6" s="1"/>
  <c r="F596" i="6"/>
  <c r="H597" i="6"/>
  <c r="J597" i="6" s="1"/>
  <c r="L597" i="6" s="1"/>
  <c r="N597" i="6" s="1"/>
  <c r="F564" i="6"/>
  <c r="H564" i="6" s="1"/>
  <c r="J564" i="6" s="1"/>
  <c r="L564" i="6" s="1"/>
  <c r="N564" i="6" s="1"/>
  <c r="H565" i="6"/>
  <c r="J565" i="6" s="1"/>
  <c r="L565" i="6" s="1"/>
  <c r="N565" i="6" s="1"/>
  <c r="F549" i="6"/>
  <c r="H549" i="6" s="1"/>
  <c r="J549" i="6" s="1"/>
  <c r="L549" i="6" s="1"/>
  <c r="N549" i="6" s="1"/>
  <c r="H550" i="6"/>
  <c r="J550" i="6" s="1"/>
  <c r="L550" i="6" s="1"/>
  <c r="N550" i="6" s="1"/>
  <c r="F527" i="6"/>
  <c r="H528" i="6"/>
  <c r="J528" i="6" s="1"/>
  <c r="L528" i="6" s="1"/>
  <c r="N528" i="6" s="1"/>
  <c r="F501" i="6"/>
  <c r="H502" i="6"/>
  <c r="J502" i="6" s="1"/>
  <c r="L502" i="6" s="1"/>
  <c r="N502" i="6" s="1"/>
  <c r="F482" i="6"/>
  <c r="H482" i="6" s="1"/>
  <c r="J482" i="6" s="1"/>
  <c r="L482" i="6" s="1"/>
  <c r="N482" i="6" s="1"/>
  <c r="H483" i="6"/>
  <c r="J483" i="6" s="1"/>
  <c r="L483" i="6" s="1"/>
  <c r="N483" i="6" s="1"/>
  <c r="F466" i="6"/>
  <c r="H467" i="6"/>
  <c r="J467" i="6" s="1"/>
  <c r="L467" i="6" s="1"/>
  <c r="N467" i="6" s="1"/>
  <c r="F450" i="6"/>
  <c r="H451" i="6"/>
  <c r="J451" i="6" s="1"/>
  <c r="L451" i="6" s="1"/>
  <c r="N451" i="6" s="1"/>
  <c r="F435" i="6"/>
  <c r="H436" i="6"/>
  <c r="J436" i="6" s="1"/>
  <c r="L436" i="6" s="1"/>
  <c r="N436" i="6" s="1"/>
  <c r="H381" i="6"/>
  <c r="J381" i="6" s="1"/>
  <c r="L381" i="6" s="1"/>
  <c r="N381" i="6" s="1"/>
  <c r="F375" i="6"/>
  <c r="H375" i="6" s="1"/>
  <c r="J375" i="6" s="1"/>
  <c r="L375" i="6" s="1"/>
  <c r="N375" i="6" s="1"/>
  <c r="F745" i="6"/>
  <c r="H746" i="6"/>
  <c r="J746" i="6" s="1"/>
  <c r="L746" i="6" s="1"/>
  <c r="N746" i="6" s="1"/>
  <c r="F586" i="6"/>
  <c r="H587" i="6"/>
  <c r="J587" i="6" s="1"/>
  <c r="L587" i="6" s="1"/>
  <c r="N587" i="6" s="1"/>
  <c r="F695" i="6"/>
  <c r="H695" i="6" s="1"/>
  <c r="J695" i="6" s="1"/>
  <c r="L695" i="6" s="1"/>
  <c r="N695" i="6" s="1"/>
  <c r="H696" i="6"/>
  <c r="J696" i="6" s="1"/>
  <c r="L696" i="6" s="1"/>
  <c r="N696" i="6" s="1"/>
  <c r="F729" i="6"/>
  <c r="H730" i="6"/>
  <c r="J730" i="6" s="1"/>
  <c r="L730" i="6" s="1"/>
  <c r="N730" i="6" s="1"/>
  <c r="F700" i="6"/>
  <c r="H701" i="6"/>
  <c r="J701" i="6" s="1"/>
  <c r="L701" i="6" s="1"/>
  <c r="N701" i="6" s="1"/>
  <c r="F685" i="6"/>
  <c r="H686" i="6"/>
  <c r="J686" i="6" s="1"/>
  <c r="L686" i="6" s="1"/>
  <c r="N686" i="6" s="1"/>
  <c r="F666" i="6"/>
  <c r="H667" i="6"/>
  <c r="J667" i="6" s="1"/>
  <c r="L667" i="6" s="1"/>
  <c r="N667" i="6" s="1"/>
  <c r="F643" i="6"/>
  <c r="H643" i="6" s="1"/>
  <c r="J643" i="6" s="1"/>
  <c r="L643" i="6" s="1"/>
  <c r="N643" i="6" s="1"/>
  <c r="H644" i="6"/>
  <c r="J644" i="6" s="1"/>
  <c r="L644" i="6" s="1"/>
  <c r="N644" i="6" s="1"/>
  <c r="F601" i="6"/>
  <c r="H602" i="6"/>
  <c r="J602" i="6" s="1"/>
  <c r="L602" i="6" s="1"/>
  <c r="N602" i="6" s="1"/>
  <c r="F580" i="6"/>
  <c r="H581" i="6"/>
  <c r="J581" i="6" s="1"/>
  <c r="L581" i="6" s="1"/>
  <c r="N581" i="6" s="1"/>
  <c r="F566" i="6"/>
  <c r="H566" i="6" s="1"/>
  <c r="J566" i="6" s="1"/>
  <c r="L566" i="6" s="1"/>
  <c r="N566" i="6" s="1"/>
  <c r="H567" i="6"/>
  <c r="J567" i="6" s="1"/>
  <c r="L567" i="6" s="1"/>
  <c r="N567" i="6" s="1"/>
  <c r="F551" i="6"/>
  <c r="H551" i="6" s="1"/>
  <c r="J551" i="6" s="1"/>
  <c r="L551" i="6" s="1"/>
  <c r="N551" i="6" s="1"/>
  <c r="H552" i="6"/>
  <c r="J552" i="6" s="1"/>
  <c r="L552" i="6" s="1"/>
  <c r="N552" i="6" s="1"/>
  <c r="F533" i="6"/>
  <c r="H534" i="6"/>
  <c r="J534" i="6" s="1"/>
  <c r="L534" i="6" s="1"/>
  <c r="N534" i="6" s="1"/>
  <c r="F507" i="6"/>
  <c r="H508" i="6"/>
  <c r="J508" i="6" s="1"/>
  <c r="L508" i="6" s="1"/>
  <c r="N508" i="6" s="1"/>
  <c r="F469" i="6"/>
  <c r="H470" i="6"/>
  <c r="J470" i="6" s="1"/>
  <c r="L470" i="6" s="1"/>
  <c r="N470" i="6" s="1"/>
  <c r="F455" i="6"/>
  <c r="H455" i="6" s="1"/>
  <c r="J455" i="6" s="1"/>
  <c r="L455" i="6" s="1"/>
  <c r="N455" i="6" s="1"/>
  <c r="H456" i="6"/>
  <c r="J456" i="6" s="1"/>
  <c r="L456" i="6" s="1"/>
  <c r="N456" i="6" s="1"/>
  <c r="F442" i="6"/>
  <c r="H442" i="6" s="1"/>
  <c r="J442" i="6" s="1"/>
  <c r="L442" i="6" s="1"/>
  <c r="N442" i="6" s="1"/>
  <c r="H443" i="6"/>
  <c r="J443" i="6" s="1"/>
  <c r="L443" i="6" s="1"/>
  <c r="N443" i="6" s="1"/>
  <c r="F421" i="6"/>
  <c r="H423" i="6"/>
  <c r="J423" i="6" s="1"/>
  <c r="L423" i="6" s="1"/>
  <c r="N423" i="6" s="1"/>
  <c r="F355" i="6"/>
  <c r="H355" i="6" s="1"/>
  <c r="J355" i="6" s="1"/>
  <c r="L355" i="6" s="1"/>
  <c r="N355" i="6" s="1"/>
  <c r="H361" i="6"/>
  <c r="J361" i="6" s="1"/>
  <c r="L361" i="6" s="1"/>
  <c r="N361" i="6" s="1"/>
  <c r="F392" i="6"/>
  <c r="H392" i="6" s="1"/>
  <c r="J392" i="6" s="1"/>
  <c r="L392" i="6" s="1"/>
  <c r="N392" i="6" s="1"/>
  <c r="H393" i="6"/>
  <c r="J393" i="6" s="1"/>
  <c r="L393" i="6" s="1"/>
  <c r="N393" i="6" s="1"/>
  <c r="F574" i="6"/>
  <c r="F486" i="6"/>
  <c r="F753" i="6"/>
  <c r="F642" i="6" l="1"/>
  <c r="F641" i="6" s="1"/>
  <c r="F690" i="6"/>
  <c r="H690" i="6" s="1"/>
  <c r="J690" i="6" s="1"/>
  <c r="L690" i="6" s="1"/>
  <c r="N690" i="6" s="1"/>
  <c r="H413" i="6"/>
  <c r="J413" i="6" s="1"/>
  <c r="L413" i="6" s="1"/>
  <c r="N413" i="6" s="1"/>
  <c r="F427" i="6"/>
  <c r="F426" i="6" s="1"/>
  <c r="F635" i="6"/>
  <c r="H635" i="6" s="1"/>
  <c r="J635" i="6" s="1"/>
  <c r="L635" i="6" s="1"/>
  <c r="N635" i="6" s="1"/>
  <c r="F479" i="6"/>
  <c r="F478" i="6" s="1"/>
  <c r="F548" i="6"/>
  <c r="F547" i="6" s="1"/>
  <c r="F677" i="6"/>
  <c r="H677" i="6" s="1"/>
  <c r="J677" i="6" s="1"/>
  <c r="L677" i="6" s="1"/>
  <c r="N677" i="6" s="1"/>
  <c r="F468" i="6"/>
  <c r="H468" i="6" s="1"/>
  <c r="J468" i="6" s="1"/>
  <c r="L468" i="6" s="1"/>
  <c r="N468" i="6" s="1"/>
  <c r="H469" i="6"/>
  <c r="J469" i="6" s="1"/>
  <c r="L469" i="6" s="1"/>
  <c r="N469" i="6" s="1"/>
  <c r="F532" i="6"/>
  <c r="H533" i="6"/>
  <c r="J533" i="6" s="1"/>
  <c r="L533" i="6" s="1"/>
  <c r="N533" i="6" s="1"/>
  <c r="F600" i="6"/>
  <c r="H601" i="6"/>
  <c r="J601" i="6" s="1"/>
  <c r="L601" i="6" s="1"/>
  <c r="N601" i="6" s="1"/>
  <c r="F665" i="6"/>
  <c r="H666" i="6"/>
  <c r="J666" i="6" s="1"/>
  <c r="L666" i="6" s="1"/>
  <c r="N666" i="6" s="1"/>
  <c r="F699" i="6"/>
  <c r="H700" i="6"/>
  <c r="J700" i="6" s="1"/>
  <c r="L700" i="6" s="1"/>
  <c r="N700" i="6" s="1"/>
  <c r="F744" i="6"/>
  <c r="H745" i="6"/>
  <c r="J745" i="6" s="1"/>
  <c r="L745" i="6" s="1"/>
  <c r="N745" i="6" s="1"/>
  <c r="F411" i="6"/>
  <c r="H411" i="6" s="1"/>
  <c r="J411" i="6" s="1"/>
  <c r="L411" i="6" s="1"/>
  <c r="N411" i="6" s="1"/>
  <c r="H412" i="6"/>
  <c r="J412" i="6" s="1"/>
  <c r="L412" i="6" s="1"/>
  <c r="N412" i="6" s="1"/>
  <c r="F449" i="6"/>
  <c r="H450" i="6"/>
  <c r="J450" i="6" s="1"/>
  <c r="L450" i="6" s="1"/>
  <c r="N450" i="6" s="1"/>
  <c r="F526" i="6"/>
  <c r="H527" i="6"/>
  <c r="J527" i="6" s="1"/>
  <c r="L527" i="6" s="1"/>
  <c r="N527" i="6" s="1"/>
  <c r="F672" i="6"/>
  <c r="H673" i="6"/>
  <c r="J673" i="6" s="1"/>
  <c r="L673" i="6" s="1"/>
  <c r="N673" i="6" s="1"/>
  <c r="F462" i="6"/>
  <c r="H463" i="6"/>
  <c r="J463" i="6" s="1"/>
  <c r="L463" i="6" s="1"/>
  <c r="N463" i="6" s="1"/>
  <c r="F494" i="6"/>
  <c r="H495" i="6"/>
  <c r="J495" i="6" s="1"/>
  <c r="L495" i="6" s="1"/>
  <c r="N495" i="6" s="1"/>
  <c r="F542" i="6"/>
  <c r="H543" i="6"/>
  <c r="J543" i="6" s="1"/>
  <c r="L543" i="6" s="1"/>
  <c r="N543" i="6" s="1"/>
  <c r="F589" i="6"/>
  <c r="H590" i="6"/>
  <c r="J590" i="6" s="1"/>
  <c r="L590" i="6" s="1"/>
  <c r="N590" i="6" s="1"/>
  <c r="F651" i="6"/>
  <c r="H652" i="6"/>
  <c r="J652" i="6" s="1"/>
  <c r="L652" i="6" s="1"/>
  <c r="N652" i="6" s="1"/>
  <c r="F473" i="6"/>
  <c r="H474" i="6"/>
  <c r="J474" i="6" s="1"/>
  <c r="L474" i="6" s="1"/>
  <c r="N474" i="6" s="1"/>
  <c r="F537" i="6"/>
  <c r="H538" i="6"/>
  <c r="J538" i="6" s="1"/>
  <c r="L538" i="6" s="1"/>
  <c r="N538" i="6" s="1"/>
  <c r="F752" i="6"/>
  <c r="H753" i="6"/>
  <c r="J753" i="6" s="1"/>
  <c r="L753" i="6" s="1"/>
  <c r="N753" i="6" s="1"/>
  <c r="H333" i="6"/>
  <c r="J333" i="6" s="1"/>
  <c r="L333" i="6" s="1"/>
  <c r="N333" i="6" s="1"/>
  <c r="F264" i="6"/>
  <c r="H264" i="6" s="1"/>
  <c r="J264" i="6" s="1"/>
  <c r="L264" i="6" s="1"/>
  <c r="N264" i="6" s="1"/>
  <c r="F441" i="6"/>
  <c r="F684" i="6"/>
  <c r="H685" i="6"/>
  <c r="J685" i="6" s="1"/>
  <c r="L685" i="6" s="1"/>
  <c r="N685" i="6" s="1"/>
  <c r="F728" i="6"/>
  <c r="H729" i="6"/>
  <c r="J729" i="6" s="1"/>
  <c r="L729" i="6" s="1"/>
  <c r="N729" i="6" s="1"/>
  <c r="F585" i="6"/>
  <c r="H586" i="6"/>
  <c r="J586" i="6" s="1"/>
  <c r="L586" i="6" s="1"/>
  <c r="N586" i="6" s="1"/>
  <c r="F434" i="6"/>
  <c r="H435" i="6"/>
  <c r="J435" i="6" s="1"/>
  <c r="L435" i="6" s="1"/>
  <c r="N435" i="6" s="1"/>
  <c r="F465" i="6"/>
  <c r="H465" i="6" s="1"/>
  <c r="J465" i="6" s="1"/>
  <c r="L465" i="6" s="1"/>
  <c r="N465" i="6" s="1"/>
  <c r="H466" i="6"/>
  <c r="J466" i="6" s="1"/>
  <c r="L466" i="6" s="1"/>
  <c r="N466" i="6" s="1"/>
  <c r="F500" i="6"/>
  <c r="H501" i="6"/>
  <c r="J501" i="6" s="1"/>
  <c r="L501" i="6" s="1"/>
  <c r="N501" i="6" s="1"/>
  <c r="F595" i="6"/>
  <c r="H596" i="6"/>
  <c r="J596" i="6" s="1"/>
  <c r="L596" i="6" s="1"/>
  <c r="N596" i="6" s="1"/>
  <c r="F658" i="6"/>
  <c r="H659" i="6"/>
  <c r="J659" i="6" s="1"/>
  <c r="L659" i="6" s="1"/>
  <c r="N659" i="6" s="1"/>
  <c r="F723" i="6"/>
  <c r="H724" i="6"/>
  <c r="J724" i="6" s="1"/>
  <c r="L724" i="6" s="1"/>
  <c r="N724" i="6" s="1"/>
  <c r="F706" i="6"/>
  <c r="H707" i="6"/>
  <c r="J707" i="6" s="1"/>
  <c r="L707" i="6" s="1"/>
  <c r="N707" i="6" s="1"/>
  <c r="F521" i="6"/>
  <c r="H522" i="6"/>
  <c r="J522" i="6" s="1"/>
  <c r="L522" i="6" s="1"/>
  <c r="N522" i="6" s="1"/>
  <c r="F560" i="6"/>
  <c r="H560" i="6" s="1"/>
  <c r="J560" i="6" s="1"/>
  <c r="L560" i="6" s="1"/>
  <c r="N560" i="6" s="1"/>
  <c r="H561" i="6"/>
  <c r="J561" i="6" s="1"/>
  <c r="L561" i="6" s="1"/>
  <c r="N561" i="6" s="1"/>
  <c r="F711" i="6"/>
  <c r="H712" i="6"/>
  <c r="J712" i="6" s="1"/>
  <c r="L712" i="6" s="1"/>
  <c r="N712" i="6" s="1"/>
  <c r="F402" i="6"/>
  <c r="H407" i="6"/>
  <c r="J407" i="6" s="1"/>
  <c r="L407" i="6" s="1"/>
  <c r="N407" i="6" s="1"/>
  <c r="F511" i="6"/>
  <c r="H512" i="6"/>
  <c r="J512" i="6" s="1"/>
  <c r="L512" i="6" s="1"/>
  <c r="N512" i="6" s="1"/>
  <c r="F555" i="6"/>
  <c r="H556" i="6"/>
  <c r="J556" i="6" s="1"/>
  <c r="L556" i="6" s="1"/>
  <c r="N556" i="6" s="1"/>
  <c r="F629" i="6"/>
  <c r="H630" i="6"/>
  <c r="J630" i="6" s="1"/>
  <c r="L630" i="6" s="1"/>
  <c r="N630" i="6" s="1"/>
  <c r="F485" i="6"/>
  <c r="H486" i="6"/>
  <c r="J486" i="6" s="1"/>
  <c r="L486" i="6" s="1"/>
  <c r="N486" i="6" s="1"/>
  <c r="F420" i="6"/>
  <c r="H421" i="6"/>
  <c r="J421" i="6" s="1"/>
  <c r="L421" i="6" s="1"/>
  <c r="N421" i="6" s="1"/>
  <c r="F506" i="6"/>
  <c r="H507" i="6"/>
  <c r="J507" i="6" s="1"/>
  <c r="L507" i="6" s="1"/>
  <c r="N507" i="6" s="1"/>
  <c r="F579" i="6"/>
  <c r="H580" i="6"/>
  <c r="J580" i="6" s="1"/>
  <c r="L580" i="6" s="1"/>
  <c r="N580" i="6" s="1"/>
  <c r="F573" i="6"/>
  <c r="H574" i="6"/>
  <c r="J574" i="6" s="1"/>
  <c r="L574" i="6" s="1"/>
  <c r="N574" i="6" s="1"/>
  <c r="F563" i="6"/>
  <c r="F454" i="6"/>
  <c r="F759" i="6"/>
  <c r="F765" i="6"/>
  <c r="F771" i="6"/>
  <c r="F773" i="6"/>
  <c r="F780" i="6"/>
  <c r="F782" i="6"/>
  <c r="F788" i="6"/>
  <c r="F790" i="6"/>
  <c r="F796" i="6"/>
  <c r="F798" i="6"/>
  <c r="F801" i="6"/>
  <c r="F806" i="6"/>
  <c r="F811" i="6"/>
  <c r="F816" i="6"/>
  <c r="F820" i="6"/>
  <c r="F826" i="6"/>
  <c r="F832" i="6"/>
  <c r="F837" i="6"/>
  <c r="F843" i="6"/>
  <c r="F849" i="6"/>
  <c r="F854" i="6"/>
  <c r="F859" i="6"/>
  <c r="F864" i="6"/>
  <c r="F875" i="6"/>
  <c r="F879" i="6"/>
  <c r="F882" i="6"/>
  <c r="F886" i="6"/>
  <c r="F890" i="6"/>
  <c r="F895" i="6"/>
  <c r="F897" i="6"/>
  <c r="H897" i="6" s="1"/>
  <c r="J897" i="6" s="1"/>
  <c r="L897" i="6" s="1"/>
  <c r="N897" i="6" s="1"/>
  <c r="H642" i="6" l="1"/>
  <c r="J642" i="6" s="1"/>
  <c r="L642" i="6" s="1"/>
  <c r="N642" i="6" s="1"/>
  <c r="F634" i="6"/>
  <c r="H634" i="6" s="1"/>
  <c r="J634" i="6" s="1"/>
  <c r="L634" i="6" s="1"/>
  <c r="N634" i="6" s="1"/>
  <c r="H548" i="6"/>
  <c r="J548" i="6" s="1"/>
  <c r="L548" i="6" s="1"/>
  <c r="N548" i="6" s="1"/>
  <c r="F689" i="6"/>
  <c r="H689" i="6" s="1"/>
  <c r="J689" i="6" s="1"/>
  <c r="L689" i="6" s="1"/>
  <c r="N689" i="6" s="1"/>
  <c r="H427" i="6"/>
  <c r="J427" i="6" s="1"/>
  <c r="L427" i="6" s="1"/>
  <c r="N427" i="6" s="1"/>
  <c r="F676" i="6"/>
  <c r="H676" i="6" s="1"/>
  <c r="J676" i="6" s="1"/>
  <c r="L676" i="6" s="1"/>
  <c r="N676" i="6" s="1"/>
  <c r="H479" i="6"/>
  <c r="J479" i="6" s="1"/>
  <c r="L479" i="6" s="1"/>
  <c r="N479" i="6" s="1"/>
  <c r="F878" i="6"/>
  <c r="H879" i="6"/>
  <c r="J879" i="6" s="1"/>
  <c r="L879" i="6" s="1"/>
  <c r="N879" i="6" s="1"/>
  <c r="F853" i="6"/>
  <c r="H854" i="6"/>
  <c r="J854" i="6" s="1"/>
  <c r="L854" i="6" s="1"/>
  <c r="N854" i="6" s="1"/>
  <c r="F831" i="6"/>
  <c r="H832" i="6"/>
  <c r="J832" i="6" s="1"/>
  <c r="L832" i="6" s="1"/>
  <c r="N832" i="6" s="1"/>
  <c r="F810" i="6"/>
  <c r="H811" i="6"/>
  <c r="J811" i="6" s="1"/>
  <c r="L811" i="6" s="1"/>
  <c r="N811" i="6" s="1"/>
  <c r="F795" i="6"/>
  <c r="H795" i="6" s="1"/>
  <c r="J795" i="6" s="1"/>
  <c r="L795" i="6" s="1"/>
  <c r="N795" i="6" s="1"/>
  <c r="H796" i="6"/>
  <c r="J796" i="6" s="1"/>
  <c r="L796" i="6" s="1"/>
  <c r="N796" i="6" s="1"/>
  <c r="F779" i="6"/>
  <c r="H779" i="6" s="1"/>
  <c r="J779" i="6" s="1"/>
  <c r="L779" i="6" s="1"/>
  <c r="N779" i="6" s="1"/>
  <c r="H780" i="6"/>
  <c r="J780" i="6" s="1"/>
  <c r="L780" i="6" s="1"/>
  <c r="N780" i="6" s="1"/>
  <c r="F758" i="6"/>
  <c r="H759" i="6"/>
  <c r="J759" i="6" s="1"/>
  <c r="L759" i="6" s="1"/>
  <c r="N759" i="6" s="1"/>
  <c r="F440" i="6"/>
  <c r="H441" i="6"/>
  <c r="J441" i="6" s="1"/>
  <c r="L441" i="6" s="1"/>
  <c r="N441" i="6" s="1"/>
  <c r="F536" i="6"/>
  <c r="H537" i="6"/>
  <c r="J537" i="6" s="1"/>
  <c r="L537" i="6" s="1"/>
  <c r="N537" i="6" s="1"/>
  <c r="F650" i="6"/>
  <c r="H651" i="6"/>
  <c r="J651" i="6" s="1"/>
  <c r="L651" i="6" s="1"/>
  <c r="N651" i="6" s="1"/>
  <c r="F541" i="6"/>
  <c r="H542" i="6"/>
  <c r="J542" i="6" s="1"/>
  <c r="L542" i="6" s="1"/>
  <c r="N542" i="6" s="1"/>
  <c r="H462" i="6"/>
  <c r="J462" i="6" s="1"/>
  <c r="L462" i="6" s="1"/>
  <c r="N462" i="6" s="1"/>
  <c r="F461" i="6"/>
  <c r="F525" i="6"/>
  <c r="H526" i="6"/>
  <c r="J526" i="6" s="1"/>
  <c r="L526" i="6" s="1"/>
  <c r="N526" i="6" s="1"/>
  <c r="F698" i="6"/>
  <c r="H699" i="6"/>
  <c r="J699" i="6" s="1"/>
  <c r="L699" i="6" s="1"/>
  <c r="N699" i="6" s="1"/>
  <c r="F599" i="6"/>
  <c r="H600" i="6"/>
  <c r="J600" i="6" s="1"/>
  <c r="L600" i="6" s="1"/>
  <c r="N600" i="6" s="1"/>
  <c r="F858" i="6"/>
  <c r="H859" i="6"/>
  <c r="J859" i="6" s="1"/>
  <c r="L859" i="6" s="1"/>
  <c r="N859" i="6" s="1"/>
  <c r="F836" i="6"/>
  <c r="H837" i="6"/>
  <c r="J837" i="6" s="1"/>
  <c r="L837" i="6" s="1"/>
  <c r="N837" i="6" s="1"/>
  <c r="F815" i="6"/>
  <c r="H816" i="6"/>
  <c r="J816" i="6" s="1"/>
  <c r="L816" i="6" s="1"/>
  <c r="N816" i="6" s="1"/>
  <c r="F797" i="6"/>
  <c r="H797" i="6" s="1"/>
  <c r="J797" i="6" s="1"/>
  <c r="L797" i="6" s="1"/>
  <c r="N797" i="6" s="1"/>
  <c r="H798" i="6"/>
  <c r="J798" i="6" s="1"/>
  <c r="L798" i="6" s="1"/>
  <c r="N798" i="6" s="1"/>
  <c r="F781" i="6"/>
  <c r="H781" i="6" s="1"/>
  <c r="J781" i="6" s="1"/>
  <c r="L781" i="6" s="1"/>
  <c r="N781" i="6" s="1"/>
  <c r="H782" i="6"/>
  <c r="J782" i="6" s="1"/>
  <c r="L782" i="6" s="1"/>
  <c r="N782" i="6" s="1"/>
  <c r="F764" i="6"/>
  <c r="H765" i="6"/>
  <c r="J765" i="6" s="1"/>
  <c r="L765" i="6" s="1"/>
  <c r="N765" i="6" s="1"/>
  <c r="F559" i="6"/>
  <c r="H563" i="6"/>
  <c r="J563" i="6" s="1"/>
  <c r="L563" i="6" s="1"/>
  <c r="N563" i="6" s="1"/>
  <c r="F578" i="6"/>
  <c r="H579" i="6"/>
  <c r="J579" i="6" s="1"/>
  <c r="L579" i="6" s="1"/>
  <c r="N579" i="6" s="1"/>
  <c r="F419" i="6"/>
  <c r="H420" i="6"/>
  <c r="J420" i="6" s="1"/>
  <c r="L420" i="6" s="1"/>
  <c r="N420" i="6" s="1"/>
  <c r="F484" i="6"/>
  <c r="H484" i="6" s="1"/>
  <c r="J484" i="6" s="1"/>
  <c r="L484" i="6" s="1"/>
  <c r="N484" i="6" s="1"/>
  <c r="H485" i="6"/>
  <c r="J485" i="6" s="1"/>
  <c r="L485" i="6" s="1"/>
  <c r="N485" i="6" s="1"/>
  <c r="F554" i="6"/>
  <c r="H555" i="6"/>
  <c r="J555" i="6" s="1"/>
  <c r="L555" i="6" s="1"/>
  <c r="N555" i="6" s="1"/>
  <c r="F401" i="6"/>
  <c r="H401" i="6" s="1"/>
  <c r="J401" i="6" s="1"/>
  <c r="L401" i="6" s="1"/>
  <c r="N401" i="6" s="1"/>
  <c r="H402" i="6"/>
  <c r="J402" i="6" s="1"/>
  <c r="L402" i="6" s="1"/>
  <c r="N402" i="6" s="1"/>
  <c r="F705" i="6"/>
  <c r="H706" i="6"/>
  <c r="J706" i="6" s="1"/>
  <c r="L706" i="6" s="1"/>
  <c r="N706" i="6" s="1"/>
  <c r="F657" i="6"/>
  <c r="H658" i="6"/>
  <c r="J658" i="6" s="1"/>
  <c r="L658" i="6" s="1"/>
  <c r="N658" i="6" s="1"/>
  <c r="F499" i="6"/>
  <c r="H500" i="6"/>
  <c r="J500" i="6" s="1"/>
  <c r="L500" i="6" s="1"/>
  <c r="N500" i="6" s="1"/>
  <c r="F433" i="6"/>
  <c r="H434" i="6"/>
  <c r="J434" i="6" s="1"/>
  <c r="L434" i="6" s="1"/>
  <c r="N434" i="6" s="1"/>
  <c r="F727" i="6"/>
  <c r="H728" i="6"/>
  <c r="J728" i="6" s="1"/>
  <c r="L728" i="6" s="1"/>
  <c r="N728" i="6" s="1"/>
  <c r="F546" i="6"/>
  <c r="H547" i="6"/>
  <c r="J547" i="6" s="1"/>
  <c r="L547" i="6" s="1"/>
  <c r="N547" i="6" s="1"/>
  <c r="F881" i="6"/>
  <c r="H882" i="6"/>
  <c r="J882" i="6" s="1"/>
  <c r="L882" i="6" s="1"/>
  <c r="N882" i="6" s="1"/>
  <c r="F885" i="6"/>
  <c r="H886" i="6"/>
  <c r="J886" i="6" s="1"/>
  <c r="L886" i="6" s="1"/>
  <c r="N886" i="6" s="1"/>
  <c r="F863" i="6"/>
  <c r="H864" i="6"/>
  <c r="J864" i="6" s="1"/>
  <c r="L864" i="6" s="1"/>
  <c r="N864" i="6" s="1"/>
  <c r="F842" i="6"/>
  <c r="H843" i="6"/>
  <c r="J843" i="6" s="1"/>
  <c r="L843" i="6" s="1"/>
  <c r="N843" i="6" s="1"/>
  <c r="F819" i="6"/>
  <c r="H820" i="6"/>
  <c r="J820" i="6" s="1"/>
  <c r="L820" i="6" s="1"/>
  <c r="N820" i="6" s="1"/>
  <c r="F799" i="6"/>
  <c r="H799" i="6" s="1"/>
  <c r="J799" i="6" s="1"/>
  <c r="L799" i="6" s="1"/>
  <c r="N799" i="6" s="1"/>
  <c r="H801" i="6"/>
  <c r="J801" i="6" s="1"/>
  <c r="L801" i="6" s="1"/>
  <c r="N801" i="6" s="1"/>
  <c r="F787" i="6"/>
  <c r="H787" i="6" s="1"/>
  <c r="J787" i="6" s="1"/>
  <c r="L787" i="6" s="1"/>
  <c r="N787" i="6" s="1"/>
  <c r="H788" i="6"/>
  <c r="J788" i="6" s="1"/>
  <c r="L788" i="6" s="1"/>
  <c r="N788" i="6" s="1"/>
  <c r="F770" i="6"/>
  <c r="H770" i="6" s="1"/>
  <c r="J770" i="6" s="1"/>
  <c r="L770" i="6" s="1"/>
  <c r="N770" i="6" s="1"/>
  <c r="H771" i="6"/>
  <c r="J771" i="6" s="1"/>
  <c r="L771" i="6" s="1"/>
  <c r="N771" i="6" s="1"/>
  <c r="F453" i="6"/>
  <c r="H454" i="6"/>
  <c r="J454" i="6" s="1"/>
  <c r="L454" i="6" s="1"/>
  <c r="N454" i="6" s="1"/>
  <c r="F751" i="6"/>
  <c r="H752" i="6"/>
  <c r="J752" i="6" s="1"/>
  <c r="L752" i="6" s="1"/>
  <c r="N752" i="6" s="1"/>
  <c r="F472" i="6"/>
  <c r="H473" i="6"/>
  <c r="J473" i="6" s="1"/>
  <c r="L473" i="6" s="1"/>
  <c r="N473" i="6" s="1"/>
  <c r="F588" i="6"/>
  <c r="H588" i="6" s="1"/>
  <c r="J588" i="6" s="1"/>
  <c r="L588" i="6" s="1"/>
  <c r="N588" i="6" s="1"/>
  <c r="H589" i="6"/>
  <c r="J589" i="6" s="1"/>
  <c r="L589" i="6" s="1"/>
  <c r="N589" i="6" s="1"/>
  <c r="F493" i="6"/>
  <c r="H494" i="6"/>
  <c r="J494" i="6" s="1"/>
  <c r="L494" i="6" s="1"/>
  <c r="N494" i="6" s="1"/>
  <c r="F671" i="6"/>
  <c r="H672" i="6"/>
  <c r="J672" i="6" s="1"/>
  <c r="L672" i="6" s="1"/>
  <c r="N672" i="6" s="1"/>
  <c r="F448" i="6"/>
  <c r="H448" i="6" s="1"/>
  <c r="J448" i="6" s="1"/>
  <c r="L448" i="6" s="1"/>
  <c r="N448" i="6" s="1"/>
  <c r="H449" i="6"/>
  <c r="J449" i="6" s="1"/>
  <c r="L449" i="6" s="1"/>
  <c r="N449" i="6" s="1"/>
  <c r="F743" i="6"/>
  <c r="H744" i="6"/>
  <c r="J744" i="6" s="1"/>
  <c r="L744" i="6" s="1"/>
  <c r="N744" i="6" s="1"/>
  <c r="F664" i="6"/>
  <c r="H665" i="6"/>
  <c r="J665" i="6" s="1"/>
  <c r="L665" i="6" s="1"/>
  <c r="N665" i="6" s="1"/>
  <c r="F531" i="6"/>
  <c r="H532" i="6"/>
  <c r="J532" i="6" s="1"/>
  <c r="L532" i="6" s="1"/>
  <c r="N532" i="6" s="1"/>
  <c r="F894" i="6"/>
  <c r="H894" i="6" s="1"/>
  <c r="J894" i="6" s="1"/>
  <c r="L894" i="6" s="1"/>
  <c r="N894" i="6" s="1"/>
  <c r="H895" i="6"/>
  <c r="J895" i="6" s="1"/>
  <c r="L895" i="6" s="1"/>
  <c r="N895" i="6" s="1"/>
  <c r="F889" i="6"/>
  <c r="H890" i="6"/>
  <c r="J890" i="6" s="1"/>
  <c r="L890" i="6" s="1"/>
  <c r="N890" i="6" s="1"/>
  <c r="F874" i="6"/>
  <c r="H875" i="6"/>
  <c r="J875" i="6" s="1"/>
  <c r="L875" i="6" s="1"/>
  <c r="N875" i="6" s="1"/>
  <c r="F848" i="6"/>
  <c r="H849" i="6"/>
  <c r="J849" i="6" s="1"/>
  <c r="L849" i="6" s="1"/>
  <c r="N849" i="6" s="1"/>
  <c r="F825" i="6"/>
  <c r="H826" i="6"/>
  <c r="J826" i="6" s="1"/>
  <c r="L826" i="6" s="1"/>
  <c r="N826" i="6" s="1"/>
  <c r="F805" i="6"/>
  <c r="H806" i="6"/>
  <c r="J806" i="6" s="1"/>
  <c r="L806" i="6" s="1"/>
  <c r="N806" i="6" s="1"/>
  <c r="F789" i="6"/>
  <c r="H789" i="6" s="1"/>
  <c r="J789" i="6" s="1"/>
  <c r="L789" i="6" s="1"/>
  <c r="N789" i="6" s="1"/>
  <c r="H790" i="6"/>
  <c r="J790" i="6" s="1"/>
  <c r="L790" i="6" s="1"/>
  <c r="N790" i="6" s="1"/>
  <c r="F772" i="6"/>
  <c r="H772" i="6" s="1"/>
  <c r="J772" i="6" s="1"/>
  <c r="L772" i="6" s="1"/>
  <c r="N772" i="6" s="1"/>
  <c r="H773" i="6"/>
  <c r="J773" i="6" s="1"/>
  <c r="L773" i="6" s="1"/>
  <c r="N773" i="6" s="1"/>
  <c r="F572" i="6"/>
  <c r="H573" i="6"/>
  <c r="J573" i="6" s="1"/>
  <c r="L573" i="6" s="1"/>
  <c r="N573" i="6" s="1"/>
  <c r="F505" i="6"/>
  <c r="H506" i="6"/>
  <c r="J506" i="6" s="1"/>
  <c r="L506" i="6" s="1"/>
  <c r="N506" i="6" s="1"/>
  <c r="F477" i="6"/>
  <c r="H478" i="6"/>
  <c r="J478" i="6" s="1"/>
  <c r="L478" i="6" s="1"/>
  <c r="N478" i="6" s="1"/>
  <c r="F425" i="6"/>
  <c r="H426" i="6"/>
  <c r="J426" i="6" s="1"/>
  <c r="L426" i="6" s="1"/>
  <c r="N426" i="6" s="1"/>
  <c r="F628" i="6"/>
  <c r="H629" i="6"/>
  <c r="J629" i="6" s="1"/>
  <c r="L629" i="6" s="1"/>
  <c r="N629" i="6" s="1"/>
  <c r="F510" i="6"/>
  <c r="H511" i="6"/>
  <c r="J511" i="6" s="1"/>
  <c r="L511" i="6" s="1"/>
  <c r="N511" i="6" s="1"/>
  <c r="F710" i="6"/>
  <c r="H711" i="6"/>
  <c r="J711" i="6" s="1"/>
  <c r="L711" i="6" s="1"/>
  <c r="N711" i="6" s="1"/>
  <c r="F520" i="6"/>
  <c r="H521" i="6"/>
  <c r="J521" i="6" s="1"/>
  <c r="L521" i="6" s="1"/>
  <c r="N521" i="6" s="1"/>
  <c r="F722" i="6"/>
  <c r="H723" i="6"/>
  <c r="J723" i="6" s="1"/>
  <c r="L723" i="6" s="1"/>
  <c r="N723" i="6" s="1"/>
  <c r="F594" i="6"/>
  <c r="H595" i="6"/>
  <c r="J595" i="6" s="1"/>
  <c r="L595" i="6" s="1"/>
  <c r="N595" i="6" s="1"/>
  <c r="F584" i="6"/>
  <c r="H585" i="6"/>
  <c r="J585" i="6" s="1"/>
  <c r="L585" i="6" s="1"/>
  <c r="N585" i="6" s="1"/>
  <c r="F683" i="6"/>
  <c r="H684" i="6"/>
  <c r="J684" i="6" s="1"/>
  <c r="L684" i="6" s="1"/>
  <c r="N684" i="6" s="1"/>
  <c r="F640" i="6"/>
  <c r="H641" i="6"/>
  <c r="J641" i="6" s="1"/>
  <c r="L641" i="6" s="1"/>
  <c r="N641" i="6" s="1"/>
  <c r="F903" i="6"/>
  <c r="F909" i="6"/>
  <c r="F911" i="6"/>
  <c r="F918" i="6"/>
  <c r="F633" i="6" l="1"/>
  <c r="H633" i="6" s="1"/>
  <c r="J633" i="6" s="1"/>
  <c r="L633" i="6" s="1"/>
  <c r="N633" i="6" s="1"/>
  <c r="F688" i="6"/>
  <c r="H688" i="6" s="1"/>
  <c r="J688" i="6" s="1"/>
  <c r="L688" i="6" s="1"/>
  <c r="N688" i="6" s="1"/>
  <c r="F794" i="6"/>
  <c r="H794" i="6" s="1"/>
  <c r="J794" i="6" s="1"/>
  <c r="L794" i="6" s="1"/>
  <c r="N794" i="6" s="1"/>
  <c r="F675" i="6"/>
  <c r="H675" i="6" s="1"/>
  <c r="J675" i="6" s="1"/>
  <c r="L675" i="6" s="1"/>
  <c r="N675" i="6" s="1"/>
  <c r="F769" i="6"/>
  <c r="F768" i="6" s="1"/>
  <c r="F778" i="6"/>
  <c r="F777" i="6" s="1"/>
  <c r="F721" i="6"/>
  <c r="H722" i="6"/>
  <c r="J722" i="6" s="1"/>
  <c r="L722" i="6" s="1"/>
  <c r="N722" i="6" s="1"/>
  <c r="F627" i="6"/>
  <c r="H628" i="6"/>
  <c r="J628" i="6" s="1"/>
  <c r="L628" i="6" s="1"/>
  <c r="N628" i="6" s="1"/>
  <c r="H477" i="6"/>
  <c r="J477" i="6" s="1"/>
  <c r="L477" i="6" s="1"/>
  <c r="N477" i="6" s="1"/>
  <c r="F476" i="6"/>
  <c r="F571" i="6"/>
  <c r="H572" i="6"/>
  <c r="J572" i="6" s="1"/>
  <c r="L572" i="6" s="1"/>
  <c r="N572" i="6" s="1"/>
  <c r="F824" i="6"/>
  <c r="H825" i="6"/>
  <c r="J825" i="6" s="1"/>
  <c r="L825" i="6" s="1"/>
  <c r="N825" i="6" s="1"/>
  <c r="F873" i="6"/>
  <c r="H874" i="6"/>
  <c r="J874" i="6" s="1"/>
  <c r="L874" i="6" s="1"/>
  <c r="N874" i="6" s="1"/>
  <c r="F663" i="6"/>
  <c r="H664" i="6"/>
  <c r="J664" i="6" s="1"/>
  <c r="L664" i="6" s="1"/>
  <c r="N664" i="6" s="1"/>
  <c r="F492" i="6"/>
  <c r="H493" i="6"/>
  <c r="J493" i="6" s="1"/>
  <c r="L493" i="6" s="1"/>
  <c r="N493" i="6" s="1"/>
  <c r="F471" i="6"/>
  <c r="H471" i="6" s="1"/>
  <c r="J471" i="6" s="1"/>
  <c r="L471" i="6" s="1"/>
  <c r="N471" i="6" s="1"/>
  <c r="H472" i="6"/>
  <c r="J472" i="6" s="1"/>
  <c r="L472" i="6" s="1"/>
  <c r="N472" i="6" s="1"/>
  <c r="F452" i="6"/>
  <c r="H452" i="6" s="1"/>
  <c r="J452" i="6" s="1"/>
  <c r="L452" i="6" s="1"/>
  <c r="N452" i="6" s="1"/>
  <c r="H453" i="6"/>
  <c r="J453" i="6" s="1"/>
  <c r="L453" i="6" s="1"/>
  <c r="N453" i="6" s="1"/>
  <c r="F818" i="6"/>
  <c r="H819" i="6"/>
  <c r="J819" i="6" s="1"/>
  <c r="L819" i="6" s="1"/>
  <c r="N819" i="6" s="1"/>
  <c r="F862" i="6"/>
  <c r="H863" i="6"/>
  <c r="J863" i="6" s="1"/>
  <c r="L863" i="6" s="1"/>
  <c r="N863" i="6" s="1"/>
  <c r="F880" i="6"/>
  <c r="H880" i="6" s="1"/>
  <c r="J880" i="6" s="1"/>
  <c r="L880" i="6" s="1"/>
  <c r="N880" i="6" s="1"/>
  <c r="H881" i="6"/>
  <c r="J881" i="6" s="1"/>
  <c r="L881" i="6" s="1"/>
  <c r="N881" i="6" s="1"/>
  <c r="H546" i="6"/>
  <c r="J546" i="6" s="1"/>
  <c r="L546" i="6" s="1"/>
  <c r="N546" i="6" s="1"/>
  <c r="F432" i="6"/>
  <c r="H432" i="6" s="1"/>
  <c r="J432" i="6" s="1"/>
  <c r="L432" i="6" s="1"/>
  <c r="N432" i="6" s="1"/>
  <c r="H433" i="6"/>
  <c r="J433" i="6" s="1"/>
  <c r="L433" i="6" s="1"/>
  <c r="N433" i="6" s="1"/>
  <c r="F656" i="6"/>
  <c r="H657" i="6"/>
  <c r="J657" i="6" s="1"/>
  <c r="L657" i="6" s="1"/>
  <c r="N657" i="6" s="1"/>
  <c r="F418" i="6"/>
  <c r="H418" i="6" s="1"/>
  <c r="J418" i="6" s="1"/>
  <c r="L418" i="6" s="1"/>
  <c r="N418" i="6" s="1"/>
  <c r="H419" i="6"/>
  <c r="J419" i="6" s="1"/>
  <c r="L419" i="6" s="1"/>
  <c r="N419" i="6" s="1"/>
  <c r="F558" i="6"/>
  <c r="H558" i="6" s="1"/>
  <c r="J558" i="6" s="1"/>
  <c r="L558" i="6" s="1"/>
  <c r="N558" i="6" s="1"/>
  <c r="H559" i="6"/>
  <c r="J559" i="6" s="1"/>
  <c r="L559" i="6" s="1"/>
  <c r="N559" i="6" s="1"/>
  <c r="F814" i="6"/>
  <c r="H815" i="6"/>
  <c r="J815" i="6" s="1"/>
  <c r="L815" i="6" s="1"/>
  <c r="N815" i="6" s="1"/>
  <c r="F857" i="6"/>
  <c r="H858" i="6"/>
  <c r="J858" i="6" s="1"/>
  <c r="L858" i="6" s="1"/>
  <c r="N858" i="6" s="1"/>
  <c r="F697" i="6"/>
  <c r="H697" i="6" s="1"/>
  <c r="J697" i="6" s="1"/>
  <c r="L697" i="6" s="1"/>
  <c r="N697" i="6" s="1"/>
  <c r="H698" i="6"/>
  <c r="J698" i="6" s="1"/>
  <c r="L698" i="6" s="1"/>
  <c r="N698" i="6" s="1"/>
  <c r="F649" i="6"/>
  <c r="H650" i="6"/>
  <c r="J650" i="6" s="1"/>
  <c r="L650" i="6" s="1"/>
  <c r="N650" i="6" s="1"/>
  <c r="F757" i="6"/>
  <c r="H758" i="6"/>
  <c r="J758" i="6" s="1"/>
  <c r="L758" i="6" s="1"/>
  <c r="N758" i="6" s="1"/>
  <c r="F830" i="6"/>
  <c r="H831" i="6"/>
  <c r="J831" i="6" s="1"/>
  <c r="L831" i="6" s="1"/>
  <c r="N831" i="6" s="1"/>
  <c r="F877" i="6"/>
  <c r="H878" i="6"/>
  <c r="J878" i="6" s="1"/>
  <c r="L878" i="6" s="1"/>
  <c r="N878" i="6" s="1"/>
  <c r="H640" i="6"/>
  <c r="J640" i="6" s="1"/>
  <c r="L640" i="6" s="1"/>
  <c r="N640" i="6" s="1"/>
  <c r="F632" i="6"/>
  <c r="H632" i="6" s="1"/>
  <c r="J632" i="6" s="1"/>
  <c r="L632" i="6" s="1"/>
  <c r="N632" i="6" s="1"/>
  <c r="F917" i="6"/>
  <c r="H918" i="6"/>
  <c r="J918" i="6" s="1"/>
  <c r="L918" i="6" s="1"/>
  <c r="N918" i="6" s="1"/>
  <c r="F896" i="6"/>
  <c r="F460" i="6"/>
  <c r="H460" i="6" s="1"/>
  <c r="J460" i="6" s="1"/>
  <c r="L460" i="6" s="1"/>
  <c r="N460" i="6" s="1"/>
  <c r="H461" i="6"/>
  <c r="J461" i="6" s="1"/>
  <c r="L461" i="6" s="1"/>
  <c r="N461" i="6" s="1"/>
  <c r="F786" i="6"/>
  <c r="F910" i="6"/>
  <c r="H910" i="6" s="1"/>
  <c r="J910" i="6" s="1"/>
  <c r="L910" i="6" s="1"/>
  <c r="N910" i="6" s="1"/>
  <c r="H911" i="6"/>
  <c r="J911" i="6" s="1"/>
  <c r="L911" i="6" s="1"/>
  <c r="N911" i="6" s="1"/>
  <c r="F709" i="6"/>
  <c r="H709" i="6" s="1"/>
  <c r="J709" i="6" s="1"/>
  <c r="L709" i="6" s="1"/>
  <c r="N709" i="6" s="1"/>
  <c r="H710" i="6"/>
  <c r="J710" i="6" s="1"/>
  <c r="L710" i="6" s="1"/>
  <c r="N710" i="6" s="1"/>
  <c r="F682" i="6"/>
  <c r="H682" i="6" s="1"/>
  <c r="J682" i="6" s="1"/>
  <c r="L682" i="6" s="1"/>
  <c r="N682" i="6" s="1"/>
  <c r="H683" i="6"/>
  <c r="J683" i="6" s="1"/>
  <c r="L683" i="6" s="1"/>
  <c r="N683" i="6" s="1"/>
  <c r="F519" i="6"/>
  <c r="H519" i="6" s="1"/>
  <c r="J519" i="6" s="1"/>
  <c r="L519" i="6" s="1"/>
  <c r="N519" i="6" s="1"/>
  <c r="H520" i="6"/>
  <c r="J520" i="6" s="1"/>
  <c r="L520" i="6" s="1"/>
  <c r="N520" i="6" s="1"/>
  <c r="F509" i="6"/>
  <c r="H509" i="6" s="1"/>
  <c r="J509" i="6" s="1"/>
  <c r="L509" i="6" s="1"/>
  <c r="N509" i="6" s="1"/>
  <c r="H510" i="6"/>
  <c r="J510" i="6" s="1"/>
  <c r="L510" i="6" s="1"/>
  <c r="N510" i="6" s="1"/>
  <c r="F424" i="6"/>
  <c r="H425" i="6"/>
  <c r="J425" i="6" s="1"/>
  <c r="L425" i="6" s="1"/>
  <c r="N425" i="6" s="1"/>
  <c r="F504" i="6"/>
  <c r="H505" i="6"/>
  <c r="J505" i="6" s="1"/>
  <c r="L505" i="6" s="1"/>
  <c r="N505" i="6" s="1"/>
  <c r="F804" i="6"/>
  <c r="H805" i="6"/>
  <c r="J805" i="6" s="1"/>
  <c r="L805" i="6" s="1"/>
  <c r="N805" i="6" s="1"/>
  <c r="F847" i="6"/>
  <c r="H848" i="6"/>
  <c r="J848" i="6" s="1"/>
  <c r="L848" i="6" s="1"/>
  <c r="N848" i="6" s="1"/>
  <c r="F888" i="6"/>
  <c r="H889" i="6"/>
  <c r="J889" i="6" s="1"/>
  <c r="L889" i="6" s="1"/>
  <c r="N889" i="6" s="1"/>
  <c r="F530" i="6"/>
  <c r="H531" i="6"/>
  <c r="J531" i="6" s="1"/>
  <c r="L531" i="6" s="1"/>
  <c r="N531" i="6" s="1"/>
  <c r="F742" i="6"/>
  <c r="H743" i="6"/>
  <c r="J743" i="6" s="1"/>
  <c r="L743" i="6" s="1"/>
  <c r="N743" i="6" s="1"/>
  <c r="F670" i="6"/>
  <c r="H671" i="6"/>
  <c r="J671" i="6" s="1"/>
  <c r="L671" i="6" s="1"/>
  <c r="N671" i="6" s="1"/>
  <c r="F750" i="6"/>
  <c r="H751" i="6"/>
  <c r="J751" i="6" s="1"/>
  <c r="L751" i="6" s="1"/>
  <c r="N751" i="6" s="1"/>
  <c r="F841" i="6"/>
  <c r="H842" i="6"/>
  <c r="J842" i="6" s="1"/>
  <c r="L842" i="6" s="1"/>
  <c r="N842" i="6" s="1"/>
  <c r="F884" i="6"/>
  <c r="H885" i="6"/>
  <c r="J885" i="6" s="1"/>
  <c r="L885" i="6" s="1"/>
  <c r="N885" i="6" s="1"/>
  <c r="F726" i="6"/>
  <c r="H726" i="6" s="1"/>
  <c r="J726" i="6" s="1"/>
  <c r="L726" i="6" s="1"/>
  <c r="N726" i="6" s="1"/>
  <c r="H727" i="6"/>
  <c r="J727" i="6" s="1"/>
  <c r="L727" i="6" s="1"/>
  <c r="N727" i="6" s="1"/>
  <c r="F498" i="6"/>
  <c r="H498" i="6" s="1"/>
  <c r="J498" i="6" s="1"/>
  <c r="L498" i="6" s="1"/>
  <c r="N498" i="6" s="1"/>
  <c r="H499" i="6"/>
  <c r="J499" i="6" s="1"/>
  <c r="L499" i="6" s="1"/>
  <c r="N499" i="6" s="1"/>
  <c r="F704" i="6"/>
  <c r="H705" i="6"/>
  <c r="J705" i="6" s="1"/>
  <c r="L705" i="6" s="1"/>
  <c r="N705" i="6" s="1"/>
  <c r="F553" i="6"/>
  <c r="H553" i="6" s="1"/>
  <c r="J553" i="6" s="1"/>
  <c r="L553" i="6" s="1"/>
  <c r="N553" i="6" s="1"/>
  <c r="H554" i="6"/>
  <c r="J554" i="6" s="1"/>
  <c r="L554" i="6" s="1"/>
  <c r="N554" i="6" s="1"/>
  <c r="F577" i="6"/>
  <c r="H577" i="6" s="1"/>
  <c r="J577" i="6" s="1"/>
  <c r="L577" i="6" s="1"/>
  <c r="N577" i="6" s="1"/>
  <c r="H578" i="6"/>
  <c r="J578" i="6" s="1"/>
  <c r="L578" i="6" s="1"/>
  <c r="N578" i="6" s="1"/>
  <c r="F763" i="6"/>
  <c r="H764" i="6"/>
  <c r="J764" i="6" s="1"/>
  <c r="L764" i="6" s="1"/>
  <c r="N764" i="6" s="1"/>
  <c r="F835" i="6"/>
  <c r="H836" i="6"/>
  <c r="J836" i="6" s="1"/>
  <c r="L836" i="6" s="1"/>
  <c r="N836" i="6" s="1"/>
  <c r="F598" i="6"/>
  <c r="H598" i="6" s="1"/>
  <c r="J598" i="6" s="1"/>
  <c r="L598" i="6" s="1"/>
  <c r="N598" i="6" s="1"/>
  <c r="H599" i="6"/>
  <c r="J599" i="6" s="1"/>
  <c r="L599" i="6" s="1"/>
  <c r="N599" i="6" s="1"/>
  <c r="F524" i="6"/>
  <c r="H524" i="6" s="1"/>
  <c r="J524" i="6" s="1"/>
  <c r="L524" i="6" s="1"/>
  <c r="N524" i="6" s="1"/>
  <c r="H525" i="6"/>
  <c r="J525" i="6" s="1"/>
  <c r="L525" i="6" s="1"/>
  <c r="N525" i="6" s="1"/>
  <c r="F540" i="6"/>
  <c r="H540" i="6" s="1"/>
  <c r="J540" i="6" s="1"/>
  <c r="L540" i="6" s="1"/>
  <c r="N540" i="6" s="1"/>
  <c r="H541" i="6"/>
  <c r="J541" i="6" s="1"/>
  <c r="L541" i="6" s="1"/>
  <c r="N541" i="6" s="1"/>
  <c r="F535" i="6"/>
  <c r="H535" i="6" s="1"/>
  <c r="J535" i="6" s="1"/>
  <c r="L535" i="6" s="1"/>
  <c r="N535" i="6" s="1"/>
  <c r="H536" i="6"/>
  <c r="J536" i="6" s="1"/>
  <c r="L536" i="6" s="1"/>
  <c r="N536" i="6" s="1"/>
  <c r="F439" i="6"/>
  <c r="H440" i="6"/>
  <c r="J440" i="6" s="1"/>
  <c r="L440" i="6" s="1"/>
  <c r="N440" i="6" s="1"/>
  <c r="F809" i="6"/>
  <c r="H810" i="6"/>
  <c r="J810" i="6" s="1"/>
  <c r="L810" i="6" s="1"/>
  <c r="N810" i="6" s="1"/>
  <c r="F852" i="6"/>
  <c r="H853" i="6"/>
  <c r="J853" i="6" s="1"/>
  <c r="L853" i="6" s="1"/>
  <c r="N853" i="6" s="1"/>
  <c r="H584" i="6"/>
  <c r="J584" i="6" s="1"/>
  <c r="L584" i="6" s="1"/>
  <c r="N584" i="6" s="1"/>
  <c r="F583" i="6"/>
  <c r="F902" i="6"/>
  <c r="H903" i="6"/>
  <c r="J903" i="6" s="1"/>
  <c r="L903" i="6" s="1"/>
  <c r="N903" i="6" s="1"/>
  <c r="F593" i="6"/>
  <c r="H594" i="6"/>
  <c r="J594" i="6" s="1"/>
  <c r="L594" i="6" s="1"/>
  <c r="N594" i="6" s="1"/>
  <c r="F908" i="6"/>
  <c r="H908" i="6" s="1"/>
  <c r="J908" i="6" s="1"/>
  <c r="L908" i="6" s="1"/>
  <c r="N908" i="6" s="1"/>
  <c r="H909" i="6"/>
  <c r="J909" i="6" s="1"/>
  <c r="L909" i="6" s="1"/>
  <c r="N909" i="6" s="1"/>
  <c r="F922" i="6"/>
  <c r="F926" i="6"/>
  <c r="F929" i="6"/>
  <c r="F687" i="6" l="1"/>
  <c r="H687" i="6" s="1"/>
  <c r="J687" i="6" s="1"/>
  <c r="L687" i="6" s="1"/>
  <c r="N687" i="6" s="1"/>
  <c r="F703" i="6"/>
  <c r="H703" i="6" s="1"/>
  <c r="F793" i="6"/>
  <c r="H793" i="6" s="1"/>
  <c r="J793" i="6" s="1"/>
  <c r="L793" i="6" s="1"/>
  <c r="N793" i="6" s="1"/>
  <c r="H769" i="6"/>
  <c r="J769" i="6" s="1"/>
  <c r="L769" i="6" s="1"/>
  <c r="N769" i="6" s="1"/>
  <c r="H778" i="6"/>
  <c r="J778" i="6" s="1"/>
  <c r="L778" i="6" s="1"/>
  <c r="N778" i="6" s="1"/>
  <c r="F907" i="6"/>
  <c r="H907" i="6" s="1"/>
  <c r="J907" i="6" s="1"/>
  <c r="L907" i="6" s="1"/>
  <c r="N907" i="6" s="1"/>
  <c r="H583" i="6"/>
  <c r="J583" i="6" s="1"/>
  <c r="L583" i="6" s="1"/>
  <c r="N583" i="6" s="1"/>
  <c r="F785" i="6"/>
  <c r="H786" i="6"/>
  <c r="J786" i="6" s="1"/>
  <c r="L786" i="6" s="1"/>
  <c r="N786" i="6" s="1"/>
  <c r="F893" i="6"/>
  <c r="H896" i="6"/>
  <c r="J896" i="6" s="1"/>
  <c r="L896" i="6" s="1"/>
  <c r="N896" i="6" s="1"/>
  <c r="F829" i="6"/>
  <c r="H830" i="6"/>
  <c r="J830" i="6" s="1"/>
  <c r="L830" i="6" s="1"/>
  <c r="N830" i="6" s="1"/>
  <c r="F648" i="6"/>
  <c r="H649" i="6"/>
  <c r="J649" i="6" s="1"/>
  <c r="L649" i="6" s="1"/>
  <c r="N649" i="6" s="1"/>
  <c r="F856" i="6"/>
  <c r="H857" i="6"/>
  <c r="J857" i="6" s="1"/>
  <c r="L857" i="6" s="1"/>
  <c r="N857" i="6" s="1"/>
  <c r="F655" i="6"/>
  <c r="H656" i="6"/>
  <c r="J656" i="6" s="1"/>
  <c r="L656" i="6" s="1"/>
  <c r="N656" i="6" s="1"/>
  <c r="F861" i="6"/>
  <c r="H862" i="6"/>
  <c r="J862" i="6" s="1"/>
  <c r="L862" i="6" s="1"/>
  <c r="N862" i="6" s="1"/>
  <c r="F491" i="6"/>
  <c r="H491" i="6" s="1"/>
  <c r="J491" i="6" s="1"/>
  <c r="L491" i="6" s="1"/>
  <c r="N491" i="6" s="1"/>
  <c r="H492" i="6"/>
  <c r="J492" i="6" s="1"/>
  <c r="L492" i="6" s="1"/>
  <c r="N492" i="6" s="1"/>
  <c r="F872" i="6"/>
  <c r="H872" i="6" s="1"/>
  <c r="J872" i="6" s="1"/>
  <c r="L872" i="6" s="1"/>
  <c r="N872" i="6" s="1"/>
  <c r="H873" i="6"/>
  <c r="J873" i="6" s="1"/>
  <c r="L873" i="6" s="1"/>
  <c r="N873" i="6" s="1"/>
  <c r="F570" i="6"/>
  <c r="H570" i="6" s="1"/>
  <c r="J570" i="6" s="1"/>
  <c r="L570" i="6" s="1"/>
  <c r="N570" i="6" s="1"/>
  <c r="H571" i="6"/>
  <c r="J571" i="6" s="1"/>
  <c r="L571" i="6" s="1"/>
  <c r="N571" i="6" s="1"/>
  <c r="H627" i="6"/>
  <c r="J627" i="6" s="1"/>
  <c r="L627" i="6" s="1"/>
  <c r="N627" i="6" s="1"/>
  <c r="F921" i="6"/>
  <c r="H922" i="6"/>
  <c r="J922" i="6" s="1"/>
  <c r="L922" i="6" s="1"/>
  <c r="N922" i="6" s="1"/>
  <c r="F776" i="6"/>
  <c r="H777" i="6"/>
  <c r="J777" i="6" s="1"/>
  <c r="L777" i="6" s="1"/>
  <c r="N777" i="6" s="1"/>
  <c r="F808" i="6"/>
  <c r="H809" i="6"/>
  <c r="J809" i="6" s="1"/>
  <c r="L809" i="6" s="1"/>
  <c r="N809" i="6" s="1"/>
  <c r="F834" i="6"/>
  <c r="H835" i="6"/>
  <c r="J835" i="6" s="1"/>
  <c r="L835" i="6" s="1"/>
  <c r="N835" i="6" s="1"/>
  <c r="H704" i="6"/>
  <c r="J704" i="6" s="1"/>
  <c r="L704" i="6" s="1"/>
  <c r="N704" i="6" s="1"/>
  <c r="F883" i="6"/>
  <c r="H883" i="6" s="1"/>
  <c r="J883" i="6" s="1"/>
  <c r="L883" i="6" s="1"/>
  <c r="N883" i="6" s="1"/>
  <c r="H884" i="6"/>
  <c r="J884" i="6" s="1"/>
  <c r="L884" i="6" s="1"/>
  <c r="N884" i="6" s="1"/>
  <c r="F749" i="6"/>
  <c r="H750" i="6"/>
  <c r="J750" i="6" s="1"/>
  <c r="L750" i="6" s="1"/>
  <c r="N750" i="6" s="1"/>
  <c r="H742" i="6"/>
  <c r="J742" i="6" s="1"/>
  <c r="L742" i="6" s="1"/>
  <c r="N742" i="6" s="1"/>
  <c r="F741" i="6"/>
  <c r="H741" i="6" s="1"/>
  <c r="J741" i="6" s="1"/>
  <c r="L741" i="6" s="1"/>
  <c r="N741" i="6" s="1"/>
  <c r="F887" i="6"/>
  <c r="H887" i="6" s="1"/>
  <c r="J887" i="6" s="1"/>
  <c r="L887" i="6" s="1"/>
  <c r="N887" i="6" s="1"/>
  <c r="H888" i="6"/>
  <c r="J888" i="6" s="1"/>
  <c r="L888" i="6" s="1"/>
  <c r="N888" i="6" s="1"/>
  <c r="F803" i="6"/>
  <c r="H804" i="6"/>
  <c r="J804" i="6" s="1"/>
  <c r="L804" i="6" s="1"/>
  <c r="N804" i="6" s="1"/>
  <c r="F386" i="6"/>
  <c r="H386" i="6" s="1"/>
  <c r="J386" i="6" s="1"/>
  <c r="L386" i="6" s="1"/>
  <c r="N386" i="6" s="1"/>
  <c r="H424" i="6"/>
  <c r="J424" i="6" s="1"/>
  <c r="L424" i="6" s="1"/>
  <c r="N424" i="6" s="1"/>
  <c r="F767" i="6"/>
  <c r="H768" i="6"/>
  <c r="J768" i="6" s="1"/>
  <c r="L768" i="6" s="1"/>
  <c r="N768" i="6" s="1"/>
  <c r="F545" i="6"/>
  <c r="H545" i="6" s="1"/>
  <c r="J545" i="6" s="1"/>
  <c r="L545" i="6" s="1"/>
  <c r="N545" i="6" s="1"/>
  <c r="F925" i="6"/>
  <c r="H926" i="6"/>
  <c r="J926" i="6" s="1"/>
  <c r="L926" i="6" s="1"/>
  <c r="N926" i="6" s="1"/>
  <c r="F916" i="6"/>
  <c r="H917" i="6"/>
  <c r="J917" i="6" s="1"/>
  <c r="L917" i="6" s="1"/>
  <c r="N917" i="6" s="1"/>
  <c r="H877" i="6"/>
  <c r="J877" i="6" s="1"/>
  <c r="L877" i="6" s="1"/>
  <c r="N877" i="6" s="1"/>
  <c r="F876" i="6"/>
  <c r="F756" i="6"/>
  <c r="H757" i="6"/>
  <c r="J757" i="6" s="1"/>
  <c r="L757" i="6" s="1"/>
  <c r="N757" i="6" s="1"/>
  <c r="F813" i="6"/>
  <c r="H814" i="6"/>
  <c r="J814" i="6" s="1"/>
  <c r="L814" i="6" s="1"/>
  <c r="N814" i="6" s="1"/>
  <c r="F817" i="6"/>
  <c r="H817" i="6" s="1"/>
  <c r="J817" i="6" s="1"/>
  <c r="L817" i="6" s="1"/>
  <c r="N817" i="6" s="1"/>
  <c r="H818" i="6"/>
  <c r="J818" i="6" s="1"/>
  <c r="L818" i="6" s="1"/>
  <c r="N818" i="6" s="1"/>
  <c r="F662" i="6"/>
  <c r="H663" i="6"/>
  <c r="J663" i="6" s="1"/>
  <c r="L663" i="6" s="1"/>
  <c r="N663" i="6" s="1"/>
  <c r="F823" i="6"/>
  <c r="H824" i="6"/>
  <c r="J824" i="6" s="1"/>
  <c r="L824" i="6" s="1"/>
  <c r="N824" i="6" s="1"/>
  <c r="H721" i="6"/>
  <c r="J721" i="6" s="1"/>
  <c r="L721" i="6" s="1"/>
  <c r="N721" i="6" s="1"/>
  <c r="F720" i="6"/>
  <c r="F901" i="6"/>
  <c r="H902" i="6"/>
  <c r="J902" i="6" s="1"/>
  <c r="L902" i="6" s="1"/>
  <c r="N902" i="6" s="1"/>
  <c r="F928" i="6"/>
  <c r="H929" i="6"/>
  <c r="J929" i="6" s="1"/>
  <c r="L929" i="6" s="1"/>
  <c r="N929" i="6" s="1"/>
  <c r="H593" i="6"/>
  <c r="J593" i="6" s="1"/>
  <c r="L593" i="6" s="1"/>
  <c r="N593" i="6" s="1"/>
  <c r="F592" i="6"/>
  <c r="H592" i="6" s="1"/>
  <c r="J592" i="6" s="1"/>
  <c r="L592" i="6" s="1"/>
  <c r="N592" i="6" s="1"/>
  <c r="F851" i="6"/>
  <c r="H852" i="6"/>
  <c r="J852" i="6" s="1"/>
  <c r="L852" i="6" s="1"/>
  <c r="N852" i="6" s="1"/>
  <c r="H439" i="6"/>
  <c r="J439" i="6" s="1"/>
  <c r="L439" i="6" s="1"/>
  <c r="N439" i="6" s="1"/>
  <c r="F438" i="6"/>
  <c r="F762" i="6"/>
  <c r="H763" i="6"/>
  <c r="J763" i="6" s="1"/>
  <c r="L763" i="6" s="1"/>
  <c r="N763" i="6" s="1"/>
  <c r="F840" i="6"/>
  <c r="H841" i="6"/>
  <c r="J841" i="6" s="1"/>
  <c r="L841" i="6" s="1"/>
  <c r="N841" i="6" s="1"/>
  <c r="F669" i="6"/>
  <c r="H670" i="6"/>
  <c r="J670" i="6" s="1"/>
  <c r="L670" i="6" s="1"/>
  <c r="N670" i="6" s="1"/>
  <c r="H530" i="6"/>
  <c r="J530" i="6" s="1"/>
  <c r="L530" i="6" s="1"/>
  <c r="N530" i="6" s="1"/>
  <c r="F529" i="6"/>
  <c r="H529" i="6" s="1"/>
  <c r="J529" i="6" s="1"/>
  <c r="L529" i="6" s="1"/>
  <c r="N529" i="6" s="1"/>
  <c r="F846" i="6"/>
  <c r="H847" i="6"/>
  <c r="J847" i="6" s="1"/>
  <c r="L847" i="6" s="1"/>
  <c r="N847" i="6" s="1"/>
  <c r="H504" i="6"/>
  <c r="J504" i="6" s="1"/>
  <c r="L504" i="6" s="1"/>
  <c r="N504" i="6" s="1"/>
  <c r="F503" i="6"/>
  <c r="F459" i="6"/>
  <c r="H459" i="6" s="1"/>
  <c r="J459" i="6" s="1"/>
  <c r="L459" i="6" s="1"/>
  <c r="N459" i="6" s="1"/>
  <c r="H476" i="6"/>
  <c r="J476" i="6" s="1"/>
  <c r="L476" i="6" s="1"/>
  <c r="N476" i="6" s="1"/>
  <c r="F933" i="6"/>
  <c r="F936" i="6"/>
  <c r="F792" i="6" l="1"/>
  <c r="H792" i="6" s="1"/>
  <c r="J792" i="6" s="1"/>
  <c r="L792" i="6" s="1"/>
  <c r="N792" i="6" s="1"/>
  <c r="F906" i="6"/>
  <c r="F905" i="6" s="1"/>
  <c r="J703" i="6"/>
  <c r="L703" i="6" s="1"/>
  <c r="N703" i="6" s="1"/>
  <c r="F497" i="6"/>
  <c r="H497" i="6" s="1"/>
  <c r="J497" i="6" s="1"/>
  <c r="L497" i="6" s="1"/>
  <c r="N497" i="6" s="1"/>
  <c r="H503" i="6"/>
  <c r="J503" i="6" s="1"/>
  <c r="L503" i="6" s="1"/>
  <c r="N503" i="6" s="1"/>
  <c r="F437" i="6"/>
  <c r="H437" i="6" s="1"/>
  <c r="J437" i="6" s="1"/>
  <c r="L437" i="6" s="1"/>
  <c r="N437" i="6" s="1"/>
  <c r="H438" i="6"/>
  <c r="J438" i="6" s="1"/>
  <c r="L438" i="6" s="1"/>
  <c r="N438" i="6" s="1"/>
  <c r="F719" i="6"/>
  <c r="F702" i="6" s="1"/>
  <c r="H720" i="6"/>
  <c r="J720" i="6" s="1"/>
  <c r="L720" i="6" s="1"/>
  <c r="N720" i="6" s="1"/>
  <c r="F871" i="6"/>
  <c r="H871" i="6" s="1"/>
  <c r="J871" i="6" s="1"/>
  <c r="L871" i="6" s="1"/>
  <c r="N871" i="6" s="1"/>
  <c r="H876" i="6"/>
  <c r="J876" i="6" s="1"/>
  <c r="L876" i="6" s="1"/>
  <c r="N876" i="6" s="1"/>
  <c r="F766" i="6"/>
  <c r="H767" i="6"/>
  <c r="J767" i="6" s="1"/>
  <c r="L767" i="6" s="1"/>
  <c r="N767" i="6" s="1"/>
  <c r="F802" i="6"/>
  <c r="H802" i="6" s="1"/>
  <c r="J802" i="6" s="1"/>
  <c r="L802" i="6" s="1"/>
  <c r="N802" i="6" s="1"/>
  <c r="H803" i="6"/>
  <c r="J803" i="6" s="1"/>
  <c r="L803" i="6" s="1"/>
  <c r="N803" i="6" s="1"/>
  <c r="F833" i="6"/>
  <c r="H833" i="6" s="1"/>
  <c r="J833" i="6" s="1"/>
  <c r="L833" i="6" s="1"/>
  <c r="N833" i="6" s="1"/>
  <c r="H834" i="6"/>
  <c r="J834" i="6" s="1"/>
  <c r="L834" i="6" s="1"/>
  <c r="N834" i="6" s="1"/>
  <c r="F775" i="6"/>
  <c r="H775" i="6" s="1"/>
  <c r="J775" i="6" s="1"/>
  <c r="L775" i="6" s="1"/>
  <c r="N775" i="6" s="1"/>
  <c r="H776" i="6"/>
  <c r="J776" i="6" s="1"/>
  <c r="L776" i="6" s="1"/>
  <c r="N776" i="6" s="1"/>
  <c r="F654" i="6"/>
  <c r="H654" i="6" s="1"/>
  <c r="J654" i="6" s="1"/>
  <c r="L654" i="6" s="1"/>
  <c r="N654" i="6" s="1"/>
  <c r="H655" i="6"/>
  <c r="J655" i="6" s="1"/>
  <c r="L655" i="6" s="1"/>
  <c r="N655" i="6" s="1"/>
  <c r="F647" i="6"/>
  <c r="H648" i="6"/>
  <c r="J648" i="6" s="1"/>
  <c r="L648" i="6" s="1"/>
  <c r="N648" i="6" s="1"/>
  <c r="F892" i="6"/>
  <c r="H893" i="6"/>
  <c r="J893" i="6" s="1"/>
  <c r="L893" i="6" s="1"/>
  <c r="N893" i="6" s="1"/>
  <c r="F845" i="6"/>
  <c r="H846" i="6"/>
  <c r="J846" i="6" s="1"/>
  <c r="L846" i="6" s="1"/>
  <c r="N846" i="6" s="1"/>
  <c r="F761" i="6"/>
  <c r="H761" i="6" s="1"/>
  <c r="J761" i="6" s="1"/>
  <c r="L761" i="6" s="1"/>
  <c r="N761" i="6" s="1"/>
  <c r="H762" i="6"/>
  <c r="J762" i="6" s="1"/>
  <c r="L762" i="6" s="1"/>
  <c r="N762" i="6" s="1"/>
  <c r="F850" i="6"/>
  <c r="H850" i="6" s="1"/>
  <c r="J850" i="6" s="1"/>
  <c r="L850" i="6" s="1"/>
  <c r="N850" i="6" s="1"/>
  <c r="H851" i="6"/>
  <c r="J851" i="6" s="1"/>
  <c r="L851" i="6" s="1"/>
  <c r="N851" i="6" s="1"/>
  <c r="F927" i="6"/>
  <c r="H928" i="6"/>
  <c r="J928" i="6" s="1"/>
  <c r="L928" i="6" s="1"/>
  <c r="N928" i="6" s="1"/>
  <c r="F822" i="6"/>
  <c r="H823" i="6"/>
  <c r="J823" i="6" s="1"/>
  <c r="L823" i="6" s="1"/>
  <c r="N823" i="6" s="1"/>
  <c r="F755" i="6"/>
  <c r="H756" i="6"/>
  <c r="J756" i="6" s="1"/>
  <c r="L756" i="6" s="1"/>
  <c r="N756" i="6" s="1"/>
  <c r="F915" i="6"/>
  <c r="H915" i="6" s="1"/>
  <c r="J915" i="6" s="1"/>
  <c r="L915" i="6" s="1"/>
  <c r="N915" i="6" s="1"/>
  <c r="H916" i="6"/>
  <c r="J916" i="6" s="1"/>
  <c r="L916" i="6" s="1"/>
  <c r="N916" i="6" s="1"/>
  <c r="F582" i="6"/>
  <c r="H582" i="6" s="1"/>
  <c r="J582" i="6" s="1"/>
  <c r="L582" i="6" s="1"/>
  <c r="N582" i="6" s="1"/>
  <c r="F932" i="6"/>
  <c r="H933" i="6"/>
  <c r="J933" i="6" s="1"/>
  <c r="L933" i="6" s="1"/>
  <c r="N933" i="6" s="1"/>
  <c r="H749" i="6"/>
  <c r="J749" i="6" s="1"/>
  <c r="L749" i="6" s="1"/>
  <c r="N749" i="6" s="1"/>
  <c r="F748" i="6"/>
  <c r="H748" i="6" s="1"/>
  <c r="J748" i="6" s="1"/>
  <c r="L748" i="6" s="1"/>
  <c r="N748" i="6" s="1"/>
  <c r="F747" i="6"/>
  <c r="H747" i="6" s="1"/>
  <c r="J747" i="6" s="1"/>
  <c r="L747" i="6" s="1"/>
  <c r="N747" i="6" s="1"/>
  <c r="F807" i="6"/>
  <c r="H807" i="6" s="1"/>
  <c r="J807" i="6" s="1"/>
  <c r="L807" i="6" s="1"/>
  <c r="N807" i="6" s="1"/>
  <c r="H808" i="6"/>
  <c r="J808" i="6" s="1"/>
  <c r="L808" i="6" s="1"/>
  <c r="N808" i="6" s="1"/>
  <c r="F920" i="6"/>
  <c r="H921" i="6"/>
  <c r="J921" i="6" s="1"/>
  <c r="L921" i="6" s="1"/>
  <c r="N921" i="6" s="1"/>
  <c r="F860" i="6"/>
  <c r="H860" i="6" s="1"/>
  <c r="J860" i="6" s="1"/>
  <c r="L860" i="6" s="1"/>
  <c r="N860" i="6" s="1"/>
  <c r="H861" i="6"/>
  <c r="J861" i="6" s="1"/>
  <c r="L861" i="6" s="1"/>
  <c r="N861" i="6" s="1"/>
  <c r="F855" i="6"/>
  <c r="H855" i="6" s="1"/>
  <c r="J855" i="6" s="1"/>
  <c r="L855" i="6" s="1"/>
  <c r="N855" i="6" s="1"/>
  <c r="H856" i="6"/>
  <c r="J856" i="6" s="1"/>
  <c r="L856" i="6" s="1"/>
  <c r="N856" i="6" s="1"/>
  <c r="F828" i="6"/>
  <c r="H829" i="6"/>
  <c r="J829" i="6" s="1"/>
  <c r="L829" i="6" s="1"/>
  <c r="N829" i="6" s="1"/>
  <c r="F784" i="6"/>
  <c r="H785" i="6"/>
  <c r="J785" i="6" s="1"/>
  <c r="L785" i="6" s="1"/>
  <c r="N785" i="6" s="1"/>
  <c r="F935" i="6"/>
  <c r="H936" i="6"/>
  <c r="J936" i="6" s="1"/>
  <c r="L936" i="6" s="1"/>
  <c r="N936" i="6" s="1"/>
  <c r="F668" i="6"/>
  <c r="H668" i="6" s="1"/>
  <c r="J668" i="6" s="1"/>
  <c r="L668" i="6" s="1"/>
  <c r="N668" i="6" s="1"/>
  <c r="H669" i="6"/>
  <c r="J669" i="6" s="1"/>
  <c r="L669" i="6" s="1"/>
  <c r="N669" i="6" s="1"/>
  <c r="F839" i="6"/>
  <c r="H840" i="6"/>
  <c r="J840" i="6" s="1"/>
  <c r="L840" i="6" s="1"/>
  <c r="N840" i="6" s="1"/>
  <c r="F900" i="6"/>
  <c r="H901" i="6"/>
  <c r="J901" i="6" s="1"/>
  <c r="L901" i="6" s="1"/>
  <c r="N901" i="6" s="1"/>
  <c r="F661" i="6"/>
  <c r="H661" i="6" s="1"/>
  <c r="J661" i="6" s="1"/>
  <c r="L661" i="6" s="1"/>
  <c r="N661" i="6" s="1"/>
  <c r="H662" i="6"/>
  <c r="J662" i="6" s="1"/>
  <c r="L662" i="6" s="1"/>
  <c r="N662" i="6" s="1"/>
  <c r="H813" i="6"/>
  <c r="J813" i="6" s="1"/>
  <c r="L813" i="6" s="1"/>
  <c r="N813" i="6" s="1"/>
  <c r="F812" i="6"/>
  <c r="H812" i="6" s="1"/>
  <c r="J812" i="6" s="1"/>
  <c r="L812" i="6" s="1"/>
  <c r="N812" i="6" s="1"/>
  <c r="F924" i="6"/>
  <c r="H924" i="6" s="1"/>
  <c r="J924" i="6" s="1"/>
  <c r="L924" i="6" s="1"/>
  <c r="N924" i="6" s="1"/>
  <c r="H925" i="6"/>
  <c r="J925" i="6" s="1"/>
  <c r="L925" i="6" s="1"/>
  <c r="N925" i="6" s="1"/>
  <c r="F941" i="6"/>
  <c r="F951" i="6"/>
  <c r="H906" i="6" l="1"/>
  <c r="J906" i="6" s="1"/>
  <c r="L906" i="6" s="1"/>
  <c r="N906" i="6" s="1"/>
  <c r="F899" i="6"/>
  <c r="H899" i="6" s="1"/>
  <c r="J899" i="6" s="1"/>
  <c r="L899" i="6" s="1"/>
  <c r="N899" i="6" s="1"/>
  <c r="H900" i="6"/>
  <c r="J900" i="6" s="1"/>
  <c r="L900" i="6" s="1"/>
  <c r="N900" i="6" s="1"/>
  <c r="H784" i="6"/>
  <c r="J784" i="6" s="1"/>
  <c r="L784" i="6" s="1"/>
  <c r="N784" i="6" s="1"/>
  <c r="F919" i="6"/>
  <c r="H919" i="6" s="1"/>
  <c r="J919" i="6" s="1"/>
  <c r="L919" i="6" s="1"/>
  <c r="N919" i="6" s="1"/>
  <c r="H920" i="6"/>
  <c r="J920" i="6" s="1"/>
  <c r="L920" i="6" s="1"/>
  <c r="N920" i="6" s="1"/>
  <c r="F754" i="6"/>
  <c r="H754" i="6" s="1"/>
  <c r="J754" i="6" s="1"/>
  <c r="L754" i="6" s="1"/>
  <c r="N754" i="6" s="1"/>
  <c r="H755" i="6"/>
  <c r="J755" i="6" s="1"/>
  <c r="L755" i="6" s="1"/>
  <c r="N755" i="6" s="1"/>
  <c r="F904" i="6"/>
  <c r="H905" i="6"/>
  <c r="J905" i="6" s="1"/>
  <c r="L905" i="6" s="1"/>
  <c r="N905" i="6" s="1"/>
  <c r="H845" i="6"/>
  <c r="J845" i="6" s="1"/>
  <c r="L845" i="6" s="1"/>
  <c r="N845" i="6" s="1"/>
  <c r="F844" i="6"/>
  <c r="H844" i="6" s="1"/>
  <c r="J844" i="6" s="1"/>
  <c r="L844" i="6" s="1"/>
  <c r="N844" i="6" s="1"/>
  <c r="H647" i="6"/>
  <c r="J647" i="6" s="1"/>
  <c r="L647" i="6" s="1"/>
  <c r="N647" i="6" s="1"/>
  <c r="F626" i="6"/>
  <c r="H626" i="6" s="1"/>
  <c r="J626" i="6" s="1"/>
  <c r="L626" i="6" s="1"/>
  <c r="N626" i="6" s="1"/>
  <c r="F760" i="6"/>
  <c r="H760" i="6" s="1"/>
  <c r="J760" i="6" s="1"/>
  <c r="L760" i="6" s="1"/>
  <c r="N760" i="6" s="1"/>
  <c r="H766" i="6"/>
  <c r="J766" i="6" s="1"/>
  <c r="L766" i="6" s="1"/>
  <c r="N766" i="6" s="1"/>
  <c r="H719" i="6"/>
  <c r="J719" i="6" s="1"/>
  <c r="L719" i="6" s="1"/>
  <c r="N719" i="6" s="1"/>
  <c r="H702" i="6"/>
  <c r="J702" i="6" s="1"/>
  <c r="L702" i="6" s="1"/>
  <c r="N702" i="6" s="1"/>
  <c r="F791" i="6"/>
  <c r="H791" i="6" s="1"/>
  <c r="J791" i="6" s="1"/>
  <c r="L791" i="6" s="1"/>
  <c r="N791" i="6" s="1"/>
  <c r="F940" i="6"/>
  <c r="H941" i="6"/>
  <c r="J941" i="6" s="1"/>
  <c r="L941" i="6" s="1"/>
  <c r="N941" i="6" s="1"/>
  <c r="F931" i="6"/>
  <c r="H932" i="6"/>
  <c r="J932" i="6" s="1"/>
  <c r="L932" i="6" s="1"/>
  <c r="N932" i="6" s="1"/>
  <c r="F934" i="6"/>
  <c r="H934" i="6" s="1"/>
  <c r="J934" i="6" s="1"/>
  <c r="L934" i="6" s="1"/>
  <c r="N934" i="6" s="1"/>
  <c r="H935" i="6"/>
  <c r="J935" i="6" s="1"/>
  <c r="L935" i="6" s="1"/>
  <c r="N935" i="6" s="1"/>
  <c r="F827" i="6"/>
  <c r="H827" i="6" s="1"/>
  <c r="J827" i="6" s="1"/>
  <c r="L827" i="6" s="1"/>
  <c r="N827" i="6" s="1"/>
  <c r="H828" i="6"/>
  <c r="J828" i="6" s="1"/>
  <c r="L828" i="6" s="1"/>
  <c r="N828" i="6" s="1"/>
  <c r="F821" i="6"/>
  <c r="H821" i="6" s="1"/>
  <c r="J821" i="6" s="1"/>
  <c r="L821" i="6" s="1"/>
  <c r="N821" i="6" s="1"/>
  <c r="H822" i="6"/>
  <c r="J822" i="6" s="1"/>
  <c r="L822" i="6" s="1"/>
  <c r="N822" i="6" s="1"/>
  <c r="H927" i="6"/>
  <c r="J927" i="6" s="1"/>
  <c r="L927" i="6" s="1"/>
  <c r="N927" i="6" s="1"/>
  <c r="F923" i="6"/>
  <c r="H923" i="6" s="1"/>
  <c r="J923" i="6" s="1"/>
  <c r="L923" i="6" s="1"/>
  <c r="N923" i="6" s="1"/>
  <c r="F891" i="6"/>
  <c r="H891" i="6" s="1"/>
  <c r="J891" i="6" s="1"/>
  <c r="L891" i="6" s="1"/>
  <c r="N891" i="6" s="1"/>
  <c r="H892" i="6"/>
  <c r="J892" i="6" s="1"/>
  <c r="L892" i="6" s="1"/>
  <c r="N892" i="6" s="1"/>
  <c r="F950" i="6"/>
  <c r="H951" i="6"/>
  <c r="J951" i="6" s="1"/>
  <c r="L951" i="6" s="1"/>
  <c r="N951" i="6" s="1"/>
  <c r="F838" i="6"/>
  <c r="H838" i="6" s="1"/>
  <c r="J838" i="6" s="1"/>
  <c r="L838" i="6" s="1"/>
  <c r="N838" i="6" s="1"/>
  <c r="H839" i="6"/>
  <c r="J839" i="6" s="1"/>
  <c r="L839" i="6" s="1"/>
  <c r="N839" i="6" s="1"/>
  <c r="F956" i="6"/>
  <c r="F976" i="6"/>
  <c r="F870" i="6" l="1"/>
  <c r="H870" i="6" s="1"/>
  <c r="J870" i="6" s="1"/>
  <c r="L870" i="6" s="1"/>
  <c r="N870" i="6" s="1"/>
  <c r="H904" i="6"/>
  <c r="J904" i="6" s="1"/>
  <c r="L904" i="6" s="1"/>
  <c r="N904" i="6" s="1"/>
  <c r="F949" i="6"/>
  <c r="H950" i="6"/>
  <c r="J950" i="6" s="1"/>
  <c r="L950" i="6" s="1"/>
  <c r="N950" i="6" s="1"/>
  <c r="H931" i="6"/>
  <c r="J931" i="6" s="1"/>
  <c r="L931" i="6" s="1"/>
  <c r="N931" i="6" s="1"/>
  <c r="F930" i="6"/>
  <c r="F955" i="6"/>
  <c r="H956" i="6"/>
  <c r="J956" i="6" s="1"/>
  <c r="L956" i="6" s="1"/>
  <c r="N956" i="6" s="1"/>
  <c r="F975" i="6"/>
  <c r="H976" i="6"/>
  <c r="J976" i="6" s="1"/>
  <c r="L976" i="6" s="1"/>
  <c r="N976" i="6" s="1"/>
  <c r="F939" i="6"/>
  <c r="H940" i="6"/>
  <c r="J940" i="6" s="1"/>
  <c r="L940" i="6" s="1"/>
  <c r="N940" i="6" s="1"/>
  <c r="F783" i="6"/>
  <c r="F981" i="6"/>
  <c r="F1005" i="6"/>
  <c r="H1005" i="6" s="1"/>
  <c r="J1005" i="6" s="1"/>
  <c r="L1005" i="6" s="1"/>
  <c r="N1005" i="6" s="1"/>
  <c r="F1006" i="6"/>
  <c r="H1006" i="6" s="1"/>
  <c r="J1006" i="6" s="1"/>
  <c r="L1006" i="6" s="1"/>
  <c r="N1006" i="6" s="1"/>
  <c r="F974" i="6" l="1"/>
  <c r="H975" i="6"/>
  <c r="J975" i="6" s="1"/>
  <c r="L975" i="6" s="1"/>
  <c r="N975" i="6" s="1"/>
  <c r="F774" i="6"/>
  <c r="H774" i="6" s="1"/>
  <c r="J774" i="6" s="1"/>
  <c r="L774" i="6" s="1"/>
  <c r="N774" i="6" s="1"/>
  <c r="H783" i="6"/>
  <c r="J783" i="6" s="1"/>
  <c r="L783" i="6" s="1"/>
  <c r="N783" i="6" s="1"/>
  <c r="F938" i="6"/>
  <c r="H939" i="6"/>
  <c r="J939" i="6" s="1"/>
  <c r="L939" i="6" s="1"/>
  <c r="N939" i="6" s="1"/>
  <c r="F954" i="6"/>
  <c r="H955" i="6"/>
  <c r="J955" i="6" s="1"/>
  <c r="L955" i="6" s="1"/>
  <c r="N955" i="6" s="1"/>
  <c r="F948" i="6"/>
  <c r="H949" i="6"/>
  <c r="J949" i="6" s="1"/>
  <c r="L949" i="6" s="1"/>
  <c r="N949" i="6" s="1"/>
  <c r="F980" i="6"/>
  <c r="H981" i="6"/>
  <c r="J981" i="6" s="1"/>
  <c r="L981" i="6" s="1"/>
  <c r="N981" i="6" s="1"/>
  <c r="F914" i="6"/>
  <c r="H914" i="6" s="1"/>
  <c r="J914" i="6" s="1"/>
  <c r="L914" i="6" s="1"/>
  <c r="N914" i="6" s="1"/>
  <c r="H930" i="6"/>
  <c r="J930" i="6" s="1"/>
  <c r="L930" i="6" s="1"/>
  <c r="N930" i="6" s="1"/>
  <c r="F1007" i="6"/>
  <c r="H1007" i="6" s="1"/>
  <c r="J1007" i="6" s="1"/>
  <c r="L1007" i="6" s="1"/>
  <c r="N1007" i="6" s="1"/>
  <c r="F1008" i="6"/>
  <c r="H1008" i="6" s="1"/>
  <c r="J1008" i="6" s="1"/>
  <c r="L1008" i="6" s="1"/>
  <c r="N1008" i="6" s="1"/>
  <c r="F1015" i="6"/>
  <c r="F1019" i="6"/>
  <c r="F947" i="6" l="1"/>
  <c r="H947" i="6" s="1"/>
  <c r="J947" i="6" s="1"/>
  <c r="L947" i="6" s="1"/>
  <c r="N947" i="6" s="1"/>
  <c r="H948" i="6"/>
  <c r="J948" i="6" s="1"/>
  <c r="L948" i="6" s="1"/>
  <c r="N948" i="6" s="1"/>
  <c r="F937" i="6"/>
  <c r="H937" i="6" s="1"/>
  <c r="J937" i="6" s="1"/>
  <c r="L937" i="6" s="1"/>
  <c r="N937" i="6" s="1"/>
  <c r="H938" i="6"/>
  <c r="J938" i="6" s="1"/>
  <c r="L938" i="6" s="1"/>
  <c r="N938" i="6" s="1"/>
  <c r="F973" i="6"/>
  <c r="H974" i="6"/>
  <c r="J974" i="6" s="1"/>
  <c r="L974" i="6" s="1"/>
  <c r="N974" i="6" s="1"/>
  <c r="F953" i="6"/>
  <c r="H954" i="6"/>
  <c r="J954" i="6" s="1"/>
  <c r="L954" i="6" s="1"/>
  <c r="N954" i="6" s="1"/>
  <c r="F1014" i="6"/>
  <c r="H1015" i="6"/>
  <c r="J1015" i="6" s="1"/>
  <c r="L1015" i="6" s="1"/>
  <c r="N1015" i="6" s="1"/>
  <c r="F1018" i="6"/>
  <c r="H1019" i="6"/>
  <c r="J1019" i="6" s="1"/>
  <c r="L1019" i="6" s="1"/>
  <c r="N1019" i="6" s="1"/>
  <c r="F979" i="6"/>
  <c r="H980" i="6"/>
  <c r="J980" i="6" s="1"/>
  <c r="L980" i="6" s="1"/>
  <c r="N980" i="6" s="1"/>
  <c r="J1021" i="6"/>
  <c r="L1021" i="6" s="1"/>
  <c r="N1021" i="6" s="1"/>
  <c r="F1017" i="6" l="1"/>
  <c r="H1018" i="6"/>
  <c r="J1018" i="6" s="1"/>
  <c r="L1018" i="6" s="1"/>
  <c r="N1018" i="6" s="1"/>
  <c r="F952" i="6"/>
  <c r="H952" i="6" s="1"/>
  <c r="J952" i="6" s="1"/>
  <c r="L952" i="6" s="1"/>
  <c r="N952" i="6" s="1"/>
  <c r="H953" i="6"/>
  <c r="J953" i="6" s="1"/>
  <c r="L953" i="6" s="1"/>
  <c r="N953" i="6" s="1"/>
  <c r="F978" i="6"/>
  <c r="H979" i="6"/>
  <c r="J979" i="6" s="1"/>
  <c r="L979" i="6" s="1"/>
  <c r="N979" i="6" s="1"/>
  <c r="F1013" i="6"/>
  <c r="H1014" i="6"/>
  <c r="J1014" i="6" s="1"/>
  <c r="L1014" i="6" s="1"/>
  <c r="N1014" i="6" s="1"/>
  <c r="F972" i="6"/>
  <c r="H972" i="6" s="1"/>
  <c r="J972" i="6" s="1"/>
  <c r="L972" i="6" s="1"/>
  <c r="N972" i="6" s="1"/>
  <c r="H973" i="6"/>
  <c r="J973" i="6" s="1"/>
  <c r="L973" i="6" s="1"/>
  <c r="N973" i="6" s="1"/>
  <c r="F1022" i="6"/>
  <c r="H1022" i="6" s="1"/>
  <c r="J1022" i="6" s="1"/>
  <c r="L1022" i="6" s="1"/>
  <c r="N1022" i="6" s="1"/>
  <c r="F1023" i="6"/>
  <c r="H1023" i="6" s="1"/>
  <c r="J1023" i="6" s="1"/>
  <c r="L1023" i="6" s="1"/>
  <c r="N1023" i="6" s="1"/>
  <c r="F1026" i="6"/>
  <c r="F1030" i="6"/>
  <c r="F1035" i="6"/>
  <c r="F1040" i="6"/>
  <c r="F1055" i="6"/>
  <c r="F1057" i="6"/>
  <c r="F1059" i="6"/>
  <c r="F1063" i="6"/>
  <c r="F1069" i="6"/>
  <c r="F1071" i="6"/>
  <c r="F1073" i="6"/>
  <c r="F1077" i="6"/>
  <c r="F1082" i="6"/>
  <c r="F1086" i="6"/>
  <c r="F1092" i="6"/>
  <c r="F1096" i="6"/>
  <c r="H1096" i="6" s="1"/>
  <c r="J1096" i="6" s="1"/>
  <c r="L1096" i="6" s="1"/>
  <c r="N1096" i="6" s="1"/>
  <c r="F1085" i="6" l="1"/>
  <c r="H1086" i="6"/>
  <c r="J1086" i="6" s="1"/>
  <c r="L1086" i="6" s="1"/>
  <c r="N1086" i="6" s="1"/>
  <c r="F1070" i="6"/>
  <c r="H1070" i="6" s="1"/>
  <c r="J1070" i="6" s="1"/>
  <c r="L1070" i="6" s="1"/>
  <c r="N1070" i="6" s="1"/>
  <c r="H1071" i="6"/>
  <c r="J1071" i="6" s="1"/>
  <c r="L1071" i="6" s="1"/>
  <c r="N1071" i="6" s="1"/>
  <c r="F1056" i="6"/>
  <c r="H1056" i="6" s="1"/>
  <c r="J1056" i="6" s="1"/>
  <c r="L1056" i="6" s="1"/>
  <c r="N1056" i="6" s="1"/>
  <c r="H1057" i="6"/>
  <c r="J1057" i="6" s="1"/>
  <c r="L1057" i="6" s="1"/>
  <c r="N1057" i="6" s="1"/>
  <c r="F1029" i="6"/>
  <c r="H1030" i="6"/>
  <c r="J1030" i="6" s="1"/>
  <c r="L1030" i="6" s="1"/>
  <c r="N1030" i="6" s="1"/>
  <c r="F1091" i="6"/>
  <c r="H1092" i="6"/>
  <c r="J1092" i="6" s="1"/>
  <c r="L1092" i="6" s="1"/>
  <c r="N1092" i="6" s="1"/>
  <c r="F1072" i="6"/>
  <c r="H1072" i="6" s="1"/>
  <c r="J1072" i="6" s="1"/>
  <c r="L1072" i="6" s="1"/>
  <c r="N1072" i="6" s="1"/>
  <c r="H1073" i="6"/>
  <c r="J1073" i="6" s="1"/>
  <c r="L1073" i="6" s="1"/>
  <c r="N1073" i="6" s="1"/>
  <c r="F1058" i="6"/>
  <c r="H1058" i="6" s="1"/>
  <c r="J1058" i="6" s="1"/>
  <c r="L1058" i="6" s="1"/>
  <c r="N1058" i="6" s="1"/>
  <c r="H1059" i="6"/>
  <c r="J1059" i="6" s="1"/>
  <c r="L1059" i="6" s="1"/>
  <c r="N1059" i="6" s="1"/>
  <c r="F1034" i="6"/>
  <c r="H1035" i="6"/>
  <c r="J1035" i="6" s="1"/>
  <c r="L1035" i="6" s="1"/>
  <c r="N1035" i="6" s="1"/>
  <c r="F1009" i="6"/>
  <c r="H1009" i="6" s="1"/>
  <c r="J1009" i="6" s="1"/>
  <c r="L1009" i="6" s="1"/>
  <c r="N1009" i="6" s="1"/>
  <c r="H1013" i="6"/>
  <c r="J1013" i="6" s="1"/>
  <c r="L1013" i="6" s="1"/>
  <c r="N1013" i="6" s="1"/>
  <c r="F1076" i="6"/>
  <c r="H1077" i="6"/>
  <c r="J1077" i="6" s="1"/>
  <c r="L1077" i="6" s="1"/>
  <c r="N1077" i="6" s="1"/>
  <c r="F1062" i="6"/>
  <c r="H1063" i="6"/>
  <c r="J1063" i="6" s="1"/>
  <c r="L1063" i="6" s="1"/>
  <c r="N1063" i="6" s="1"/>
  <c r="F1039" i="6"/>
  <c r="H1040" i="6"/>
  <c r="J1040" i="6" s="1"/>
  <c r="L1040" i="6" s="1"/>
  <c r="N1040" i="6" s="1"/>
  <c r="F1081" i="6"/>
  <c r="H1082" i="6"/>
  <c r="J1082" i="6" s="1"/>
  <c r="L1082" i="6" s="1"/>
  <c r="N1082" i="6" s="1"/>
  <c r="F1068" i="6"/>
  <c r="H1068" i="6" s="1"/>
  <c r="J1068" i="6" s="1"/>
  <c r="L1068" i="6" s="1"/>
  <c r="N1068" i="6" s="1"/>
  <c r="H1069" i="6"/>
  <c r="J1069" i="6" s="1"/>
  <c r="L1069" i="6" s="1"/>
  <c r="N1069" i="6" s="1"/>
  <c r="F1054" i="6"/>
  <c r="H1054" i="6" s="1"/>
  <c r="J1054" i="6" s="1"/>
  <c r="L1054" i="6" s="1"/>
  <c r="N1054" i="6" s="1"/>
  <c r="H1055" i="6"/>
  <c r="J1055" i="6" s="1"/>
  <c r="L1055" i="6" s="1"/>
  <c r="N1055" i="6" s="1"/>
  <c r="F1025" i="6"/>
  <c r="H1026" i="6"/>
  <c r="J1026" i="6" s="1"/>
  <c r="L1026" i="6" s="1"/>
  <c r="N1026" i="6" s="1"/>
  <c r="H978" i="6"/>
  <c r="J978" i="6" s="1"/>
  <c r="L978" i="6" s="1"/>
  <c r="N978" i="6" s="1"/>
  <c r="F977" i="6"/>
  <c r="F1016" i="6"/>
  <c r="H1016" i="6" s="1"/>
  <c r="J1016" i="6" s="1"/>
  <c r="L1016" i="6" s="1"/>
  <c r="N1016" i="6" s="1"/>
  <c r="H1017" i="6"/>
  <c r="J1017" i="6" s="1"/>
  <c r="L1017" i="6" s="1"/>
  <c r="N1017" i="6" s="1"/>
  <c r="F1053" i="6"/>
  <c r="F1097" i="6"/>
  <c r="F1100" i="6"/>
  <c r="F1103" i="6"/>
  <c r="F1107" i="6"/>
  <c r="F1112" i="6"/>
  <c r="F1116" i="6"/>
  <c r="F1121" i="6"/>
  <c r="F1124" i="6"/>
  <c r="F1129" i="6"/>
  <c r="F1133" i="6"/>
  <c r="F1138" i="6"/>
  <c r="F1142" i="6"/>
  <c r="F1145" i="6"/>
  <c r="F1156" i="6"/>
  <c r="F1161" i="6"/>
  <c r="F1163" i="6"/>
  <c r="F1167" i="6"/>
  <c r="F1173" i="6"/>
  <c r="F1179" i="6"/>
  <c r="F1184" i="6"/>
  <c r="F1191" i="6"/>
  <c r="F1196" i="6"/>
  <c r="F1198" i="6"/>
  <c r="F1200" i="6"/>
  <c r="F1204" i="6"/>
  <c r="F1210" i="6"/>
  <c r="F1214" i="6"/>
  <c r="F1219" i="6"/>
  <c r="F1223" i="6"/>
  <c r="F1231" i="6"/>
  <c r="F1237" i="6"/>
  <c r="F1243" i="6"/>
  <c r="F1247" i="6"/>
  <c r="F1252" i="6"/>
  <c r="F1258" i="6"/>
  <c r="F1263" i="6"/>
  <c r="F1268" i="6"/>
  <c r="F1272" i="6"/>
  <c r="F1274" i="6"/>
  <c r="F1276" i="6"/>
  <c r="F1281" i="6"/>
  <c r="F1293" i="6"/>
  <c r="F1298" i="6"/>
  <c r="F1302" i="6"/>
  <c r="F1304" i="6"/>
  <c r="F1306" i="6"/>
  <c r="F1310" i="6"/>
  <c r="F1314" i="6"/>
  <c r="F1318" i="6"/>
  <c r="F1323" i="6"/>
  <c r="F1341" i="6"/>
  <c r="F1348" i="6"/>
  <c r="F1355" i="6"/>
  <c r="F1357" i="6"/>
  <c r="F1360" i="6"/>
  <c r="F1362" i="6"/>
  <c r="F1366" i="6"/>
  <c r="F1371" i="6"/>
  <c r="F1376" i="6"/>
  <c r="F1378" i="6"/>
  <c r="F1383" i="6"/>
  <c r="F1067" i="6" l="1"/>
  <c r="F1066" i="6" s="1"/>
  <c r="F1370" i="6"/>
  <c r="H1371" i="6"/>
  <c r="J1371" i="6" s="1"/>
  <c r="L1371" i="6" s="1"/>
  <c r="N1371" i="6" s="1"/>
  <c r="F1356" i="6"/>
  <c r="H1356" i="6" s="1"/>
  <c r="J1356" i="6" s="1"/>
  <c r="L1356" i="6" s="1"/>
  <c r="N1356" i="6" s="1"/>
  <c r="H1357" i="6"/>
  <c r="J1357" i="6" s="1"/>
  <c r="L1357" i="6" s="1"/>
  <c r="N1357" i="6" s="1"/>
  <c r="F1322" i="6"/>
  <c r="H1323" i="6"/>
  <c r="J1323" i="6" s="1"/>
  <c r="L1323" i="6" s="1"/>
  <c r="N1323" i="6" s="1"/>
  <c r="F1305" i="6"/>
  <c r="H1305" i="6" s="1"/>
  <c r="J1305" i="6" s="1"/>
  <c r="L1305" i="6" s="1"/>
  <c r="N1305" i="6" s="1"/>
  <c r="H1306" i="6"/>
  <c r="J1306" i="6" s="1"/>
  <c r="L1306" i="6" s="1"/>
  <c r="N1306" i="6" s="1"/>
  <c r="F1292" i="6"/>
  <c r="H1293" i="6"/>
  <c r="J1293" i="6" s="1"/>
  <c r="L1293" i="6" s="1"/>
  <c r="N1293" i="6" s="1"/>
  <c r="F1271" i="6"/>
  <c r="H1271" i="6" s="1"/>
  <c r="J1271" i="6" s="1"/>
  <c r="L1271" i="6" s="1"/>
  <c r="N1271" i="6" s="1"/>
  <c r="H1272" i="6"/>
  <c r="J1272" i="6" s="1"/>
  <c r="L1272" i="6" s="1"/>
  <c r="N1272" i="6" s="1"/>
  <c r="F1251" i="6"/>
  <c r="H1252" i="6"/>
  <c r="J1252" i="6" s="1"/>
  <c r="L1252" i="6" s="1"/>
  <c r="N1252" i="6" s="1"/>
  <c r="F1230" i="6"/>
  <c r="H1231" i="6"/>
  <c r="J1231" i="6" s="1"/>
  <c r="L1231" i="6" s="1"/>
  <c r="N1231" i="6" s="1"/>
  <c r="F1209" i="6"/>
  <c r="H1210" i="6"/>
  <c r="J1210" i="6" s="1"/>
  <c r="L1210" i="6" s="1"/>
  <c r="N1210" i="6" s="1"/>
  <c r="F1195" i="6"/>
  <c r="H1195" i="6" s="1"/>
  <c r="J1195" i="6" s="1"/>
  <c r="L1195" i="6" s="1"/>
  <c r="N1195" i="6" s="1"/>
  <c r="H1196" i="6"/>
  <c r="J1196" i="6" s="1"/>
  <c r="L1196" i="6" s="1"/>
  <c r="N1196" i="6" s="1"/>
  <c r="F1172" i="6"/>
  <c r="H1173" i="6"/>
  <c r="J1173" i="6" s="1"/>
  <c r="L1173" i="6" s="1"/>
  <c r="N1173" i="6" s="1"/>
  <c r="F1155" i="6"/>
  <c r="H1156" i="6"/>
  <c r="J1156" i="6" s="1"/>
  <c r="L1156" i="6" s="1"/>
  <c r="N1156" i="6" s="1"/>
  <c r="F1132" i="6"/>
  <c r="H1133" i="6"/>
  <c r="J1133" i="6" s="1"/>
  <c r="L1133" i="6" s="1"/>
  <c r="N1133" i="6" s="1"/>
  <c r="F1115" i="6"/>
  <c r="H1116" i="6"/>
  <c r="J1116" i="6" s="1"/>
  <c r="L1116" i="6" s="1"/>
  <c r="N1116" i="6" s="1"/>
  <c r="F1099" i="6"/>
  <c r="H1100" i="6"/>
  <c r="J1100" i="6" s="1"/>
  <c r="L1100" i="6" s="1"/>
  <c r="N1100" i="6" s="1"/>
  <c r="F913" i="6"/>
  <c r="H913" i="6" s="1"/>
  <c r="J913" i="6" s="1"/>
  <c r="L913" i="6" s="1"/>
  <c r="N913" i="6" s="1"/>
  <c r="H977" i="6"/>
  <c r="J977" i="6" s="1"/>
  <c r="L977" i="6" s="1"/>
  <c r="N977" i="6" s="1"/>
  <c r="F1375" i="6"/>
  <c r="H1375" i="6" s="1"/>
  <c r="J1375" i="6" s="1"/>
  <c r="L1375" i="6" s="1"/>
  <c r="N1375" i="6" s="1"/>
  <c r="H1376" i="6"/>
  <c r="J1376" i="6" s="1"/>
  <c r="L1376" i="6" s="1"/>
  <c r="N1376" i="6" s="1"/>
  <c r="F1359" i="6"/>
  <c r="H1359" i="6" s="1"/>
  <c r="J1359" i="6" s="1"/>
  <c r="L1359" i="6" s="1"/>
  <c r="N1359" i="6" s="1"/>
  <c r="H1360" i="6"/>
  <c r="J1360" i="6" s="1"/>
  <c r="L1360" i="6" s="1"/>
  <c r="N1360" i="6" s="1"/>
  <c r="F1340" i="6"/>
  <c r="H1341" i="6"/>
  <c r="J1341" i="6" s="1"/>
  <c r="L1341" i="6" s="1"/>
  <c r="N1341" i="6" s="1"/>
  <c r="F1309" i="6"/>
  <c r="H1310" i="6"/>
  <c r="J1310" i="6" s="1"/>
  <c r="L1310" i="6" s="1"/>
  <c r="N1310" i="6" s="1"/>
  <c r="F1297" i="6"/>
  <c r="H1298" i="6"/>
  <c r="J1298" i="6" s="1"/>
  <c r="L1298" i="6" s="1"/>
  <c r="N1298" i="6" s="1"/>
  <c r="F1273" i="6"/>
  <c r="H1273" i="6" s="1"/>
  <c r="J1273" i="6" s="1"/>
  <c r="L1273" i="6" s="1"/>
  <c r="N1273" i="6" s="1"/>
  <c r="H1274" i="6"/>
  <c r="J1274" i="6" s="1"/>
  <c r="L1274" i="6" s="1"/>
  <c r="N1274" i="6" s="1"/>
  <c r="F1257" i="6"/>
  <c r="H1258" i="6"/>
  <c r="J1258" i="6" s="1"/>
  <c r="L1258" i="6" s="1"/>
  <c r="N1258" i="6" s="1"/>
  <c r="F1236" i="6"/>
  <c r="H1237" i="6"/>
  <c r="J1237" i="6" s="1"/>
  <c r="L1237" i="6" s="1"/>
  <c r="N1237" i="6" s="1"/>
  <c r="F1213" i="6"/>
  <c r="H1214" i="6"/>
  <c r="J1214" i="6" s="1"/>
  <c r="L1214" i="6" s="1"/>
  <c r="N1214" i="6" s="1"/>
  <c r="F1197" i="6"/>
  <c r="H1197" i="6" s="1"/>
  <c r="J1197" i="6" s="1"/>
  <c r="L1197" i="6" s="1"/>
  <c r="N1197" i="6" s="1"/>
  <c r="H1198" i="6"/>
  <c r="J1198" i="6" s="1"/>
  <c r="L1198" i="6" s="1"/>
  <c r="N1198" i="6" s="1"/>
  <c r="F1178" i="6"/>
  <c r="H1179" i="6"/>
  <c r="J1179" i="6" s="1"/>
  <c r="L1179" i="6" s="1"/>
  <c r="N1179" i="6" s="1"/>
  <c r="F1160" i="6"/>
  <c r="H1160" i="6" s="1"/>
  <c r="J1160" i="6" s="1"/>
  <c r="L1160" i="6" s="1"/>
  <c r="N1160" i="6" s="1"/>
  <c r="H1161" i="6"/>
  <c r="J1161" i="6" s="1"/>
  <c r="L1161" i="6" s="1"/>
  <c r="N1161" i="6" s="1"/>
  <c r="F1137" i="6"/>
  <c r="H1138" i="6"/>
  <c r="J1138" i="6" s="1"/>
  <c r="L1138" i="6" s="1"/>
  <c r="N1138" i="6" s="1"/>
  <c r="F1120" i="6"/>
  <c r="H1121" i="6"/>
  <c r="J1121" i="6" s="1"/>
  <c r="L1121" i="6" s="1"/>
  <c r="N1121" i="6" s="1"/>
  <c r="F1102" i="6"/>
  <c r="H1103" i="6"/>
  <c r="J1103" i="6" s="1"/>
  <c r="L1103" i="6" s="1"/>
  <c r="N1103" i="6" s="1"/>
  <c r="F1024" i="6"/>
  <c r="F1020" i="6" s="1"/>
  <c r="H1025" i="6"/>
  <c r="J1025" i="6" s="1"/>
  <c r="L1025" i="6" s="1"/>
  <c r="N1025" i="6" s="1"/>
  <c r="F1038" i="6"/>
  <c r="H1039" i="6"/>
  <c r="J1039" i="6" s="1"/>
  <c r="L1039" i="6" s="1"/>
  <c r="N1039" i="6" s="1"/>
  <c r="F1075" i="6"/>
  <c r="H1076" i="6"/>
  <c r="J1076" i="6" s="1"/>
  <c r="L1076" i="6" s="1"/>
  <c r="N1076" i="6" s="1"/>
  <c r="F1033" i="6"/>
  <c r="H1034" i="6"/>
  <c r="J1034" i="6" s="1"/>
  <c r="L1034" i="6" s="1"/>
  <c r="N1034" i="6" s="1"/>
  <c r="F1028" i="6"/>
  <c r="H1029" i="6"/>
  <c r="J1029" i="6" s="1"/>
  <c r="L1029" i="6" s="1"/>
  <c r="N1029" i="6" s="1"/>
  <c r="F1377" i="6"/>
  <c r="H1377" i="6" s="1"/>
  <c r="J1377" i="6" s="1"/>
  <c r="L1377" i="6" s="1"/>
  <c r="N1377" i="6" s="1"/>
  <c r="H1378" i="6"/>
  <c r="J1378" i="6" s="1"/>
  <c r="L1378" i="6" s="1"/>
  <c r="N1378" i="6" s="1"/>
  <c r="F1361" i="6"/>
  <c r="H1361" i="6" s="1"/>
  <c r="J1361" i="6" s="1"/>
  <c r="L1361" i="6" s="1"/>
  <c r="N1361" i="6" s="1"/>
  <c r="H1362" i="6"/>
  <c r="J1362" i="6" s="1"/>
  <c r="L1362" i="6" s="1"/>
  <c r="N1362" i="6" s="1"/>
  <c r="F1347" i="6"/>
  <c r="H1348" i="6"/>
  <c r="J1348" i="6" s="1"/>
  <c r="L1348" i="6" s="1"/>
  <c r="N1348" i="6" s="1"/>
  <c r="F1313" i="6"/>
  <c r="H1314" i="6"/>
  <c r="J1314" i="6" s="1"/>
  <c r="L1314" i="6" s="1"/>
  <c r="N1314" i="6" s="1"/>
  <c r="F1301" i="6"/>
  <c r="H1301" i="6" s="1"/>
  <c r="J1301" i="6" s="1"/>
  <c r="L1301" i="6" s="1"/>
  <c r="N1301" i="6" s="1"/>
  <c r="H1302" i="6"/>
  <c r="J1302" i="6" s="1"/>
  <c r="L1302" i="6" s="1"/>
  <c r="N1302" i="6" s="1"/>
  <c r="F1275" i="6"/>
  <c r="H1275" i="6" s="1"/>
  <c r="J1275" i="6" s="1"/>
  <c r="L1275" i="6" s="1"/>
  <c r="N1275" i="6" s="1"/>
  <c r="H1276" i="6"/>
  <c r="J1276" i="6" s="1"/>
  <c r="L1276" i="6" s="1"/>
  <c r="N1276" i="6" s="1"/>
  <c r="F1262" i="6"/>
  <c r="H1263" i="6"/>
  <c r="J1263" i="6" s="1"/>
  <c r="L1263" i="6" s="1"/>
  <c r="N1263" i="6" s="1"/>
  <c r="F1242" i="6"/>
  <c r="H1243" i="6"/>
  <c r="J1243" i="6" s="1"/>
  <c r="L1243" i="6" s="1"/>
  <c r="N1243" i="6" s="1"/>
  <c r="F1218" i="6"/>
  <c r="H1219" i="6"/>
  <c r="J1219" i="6" s="1"/>
  <c r="L1219" i="6" s="1"/>
  <c r="N1219" i="6" s="1"/>
  <c r="F1199" i="6"/>
  <c r="H1199" i="6" s="1"/>
  <c r="J1199" i="6" s="1"/>
  <c r="L1199" i="6" s="1"/>
  <c r="N1199" i="6" s="1"/>
  <c r="H1200" i="6"/>
  <c r="J1200" i="6" s="1"/>
  <c r="L1200" i="6" s="1"/>
  <c r="N1200" i="6" s="1"/>
  <c r="F1183" i="6"/>
  <c r="H1184" i="6"/>
  <c r="J1184" i="6" s="1"/>
  <c r="L1184" i="6" s="1"/>
  <c r="N1184" i="6" s="1"/>
  <c r="F1162" i="6"/>
  <c r="H1162" i="6" s="1"/>
  <c r="J1162" i="6" s="1"/>
  <c r="L1162" i="6" s="1"/>
  <c r="N1162" i="6" s="1"/>
  <c r="H1163" i="6"/>
  <c r="J1163" i="6" s="1"/>
  <c r="L1163" i="6" s="1"/>
  <c r="N1163" i="6" s="1"/>
  <c r="F1141" i="6"/>
  <c r="H1142" i="6"/>
  <c r="J1142" i="6" s="1"/>
  <c r="L1142" i="6" s="1"/>
  <c r="N1142" i="6" s="1"/>
  <c r="F1123" i="6"/>
  <c r="H1124" i="6"/>
  <c r="J1124" i="6" s="1"/>
  <c r="L1124" i="6" s="1"/>
  <c r="N1124" i="6" s="1"/>
  <c r="F1106" i="6"/>
  <c r="H1107" i="6"/>
  <c r="J1107" i="6" s="1"/>
  <c r="L1107" i="6" s="1"/>
  <c r="N1107" i="6" s="1"/>
  <c r="F1052" i="6"/>
  <c r="H1053" i="6"/>
  <c r="J1053" i="6" s="1"/>
  <c r="L1053" i="6" s="1"/>
  <c r="N1053" i="6" s="1"/>
  <c r="F1382" i="6"/>
  <c r="H1383" i="6"/>
  <c r="J1383" i="6" s="1"/>
  <c r="L1383" i="6" s="1"/>
  <c r="N1383" i="6" s="1"/>
  <c r="F1365" i="6"/>
  <c r="H1366" i="6"/>
  <c r="J1366" i="6" s="1"/>
  <c r="L1366" i="6" s="1"/>
  <c r="N1366" i="6" s="1"/>
  <c r="F1354" i="6"/>
  <c r="H1354" i="6" s="1"/>
  <c r="J1354" i="6" s="1"/>
  <c r="L1354" i="6" s="1"/>
  <c r="N1354" i="6" s="1"/>
  <c r="H1355" i="6"/>
  <c r="J1355" i="6" s="1"/>
  <c r="L1355" i="6" s="1"/>
  <c r="N1355" i="6" s="1"/>
  <c r="F1317" i="6"/>
  <c r="H1318" i="6"/>
  <c r="J1318" i="6" s="1"/>
  <c r="L1318" i="6" s="1"/>
  <c r="N1318" i="6" s="1"/>
  <c r="F1303" i="6"/>
  <c r="H1303" i="6" s="1"/>
  <c r="J1303" i="6" s="1"/>
  <c r="L1303" i="6" s="1"/>
  <c r="N1303" i="6" s="1"/>
  <c r="H1304" i="6"/>
  <c r="J1304" i="6" s="1"/>
  <c r="L1304" i="6" s="1"/>
  <c r="N1304" i="6" s="1"/>
  <c r="F1280" i="6"/>
  <c r="H1281" i="6"/>
  <c r="J1281" i="6" s="1"/>
  <c r="L1281" i="6" s="1"/>
  <c r="N1281" i="6" s="1"/>
  <c r="F1267" i="6"/>
  <c r="H1268" i="6"/>
  <c r="J1268" i="6" s="1"/>
  <c r="L1268" i="6" s="1"/>
  <c r="N1268" i="6" s="1"/>
  <c r="F1246" i="6"/>
  <c r="H1247" i="6"/>
  <c r="J1247" i="6" s="1"/>
  <c r="L1247" i="6" s="1"/>
  <c r="N1247" i="6" s="1"/>
  <c r="F1222" i="6"/>
  <c r="H1223" i="6"/>
  <c r="J1223" i="6" s="1"/>
  <c r="L1223" i="6" s="1"/>
  <c r="N1223" i="6" s="1"/>
  <c r="F1203" i="6"/>
  <c r="H1204" i="6"/>
  <c r="J1204" i="6" s="1"/>
  <c r="L1204" i="6" s="1"/>
  <c r="N1204" i="6" s="1"/>
  <c r="F1190" i="6"/>
  <c r="H1191" i="6"/>
  <c r="J1191" i="6" s="1"/>
  <c r="L1191" i="6" s="1"/>
  <c r="N1191" i="6" s="1"/>
  <c r="F1166" i="6"/>
  <c r="H1167" i="6"/>
  <c r="J1167" i="6" s="1"/>
  <c r="L1167" i="6" s="1"/>
  <c r="N1167" i="6" s="1"/>
  <c r="F1144" i="6"/>
  <c r="H1145" i="6"/>
  <c r="J1145" i="6" s="1"/>
  <c r="L1145" i="6" s="1"/>
  <c r="N1145" i="6" s="1"/>
  <c r="F1128" i="6"/>
  <c r="H1129" i="6"/>
  <c r="J1129" i="6" s="1"/>
  <c r="L1129" i="6" s="1"/>
  <c r="N1129" i="6" s="1"/>
  <c r="F1111" i="6"/>
  <c r="H1112" i="6"/>
  <c r="J1112" i="6" s="1"/>
  <c r="L1112" i="6" s="1"/>
  <c r="N1112" i="6" s="1"/>
  <c r="F1095" i="6"/>
  <c r="H1097" i="6"/>
  <c r="J1097" i="6" s="1"/>
  <c r="L1097" i="6" s="1"/>
  <c r="N1097" i="6" s="1"/>
  <c r="F1080" i="6"/>
  <c r="H1081" i="6"/>
  <c r="J1081" i="6" s="1"/>
  <c r="L1081" i="6" s="1"/>
  <c r="N1081" i="6" s="1"/>
  <c r="F1061" i="6"/>
  <c r="H1062" i="6"/>
  <c r="J1062" i="6" s="1"/>
  <c r="L1062" i="6" s="1"/>
  <c r="N1062" i="6" s="1"/>
  <c r="F1090" i="6"/>
  <c r="H1091" i="6"/>
  <c r="J1091" i="6" s="1"/>
  <c r="L1091" i="6" s="1"/>
  <c r="N1091" i="6" s="1"/>
  <c r="F1084" i="6"/>
  <c r="H1085" i="6"/>
  <c r="J1085" i="6" s="1"/>
  <c r="L1085" i="6" s="1"/>
  <c r="N1085" i="6" s="1"/>
  <c r="H1067" i="6" l="1"/>
  <c r="J1067" i="6" s="1"/>
  <c r="L1067" i="6" s="1"/>
  <c r="N1067" i="6" s="1"/>
  <c r="F1270" i="6"/>
  <c r="H1270" i="6" s="1"/>
  <c r="J1270" i="6" s="1"/>
  <c r="L1270" i="6" s="1"/>
  <c r="N1270" i="6" s="1"/>
  <c r="F1300" i="6"/>
  <c r="F1299" i="6" s="1"/>
  <c r="F1089" i="6"/>
  <c r="H1089" i="6" s="1"/>
  <c r="J1089" i="6" s="1"/>
  <c r="L1089" i="6" s="1"/>
  <c r="N1089" i="6" s="1"/>
  <c r="H1090" i="6"/>
  <c r="J1090" i="6" s="1"/>
  <c r="L1090" i="6" s="1"/>
  <c r="N1090" i="6" s="1"/>
  <c r="F1110" i="6"/>
  <c r="H1111" i="6"/>
  <c r="J1111" i="6" s="1"/>
  <c r="L1111" i="6" s="1"/>
  <c r="N1111" i="6" s="1"/>
  <c r="F1189" i="6"/>
  <c r="H1190" i="6"/>
  <c r="J1190" i="6" s="1"/>
  <c r="L1190" i="6" s="1"/>
  <c r="N1190" i="6" s="1"/>
  <c r="F1266" i="6"/>
  <c r="H1267" i="6"/>
  <c r="J1267" i="6" s="1"/>
  <c r="L1267" i="6" s="1"/>
  <c r="N1267" i="6" s="1"/>
  <c r="F1105" i="6"/>
  <c r="H1106" i="6"/>
  <c r="J1106" i="6" s="1"/>
  <c r="L1106" i="6" s="1"/>
  <c r="N1106" i="6" s="1"/>
  <c r="F1182" i="6"/>
  <c r="H1183" i="6"/>
  <c r="J1183" i="6" s="1"/>
  <c r="L1183" i="6" s="1"/>
  <c r="N1183" i="6" s="1"/>
  <c r="F1032" i="6"/>
  <c r="H1033" i="6"/>
  <c r="J1033" i="6" s="1"/>
  <c r="L1033" i="6" s="1"/>
  <c r="N1033" i="6" s="1"/>
  <c r="F1037" i="6"/>
  <c r="H1038" i="6"/>
  <c r="J1038" i="6" s="1"/>
  <c r="L1038" i="6" s="1"/>
  <c r="N1038" i="6" s="1"/>
  <c r="F1119" i="6"/>
  <c r="H1120" i="6"/>
  <c r="J1120" i="6" s="1"/>
  <c r="L1120" i="6" s="1"/>
  <c r="N1120" i="6" s="1"/>
  <c r="F1235" i="6"/>
  <c r="H1236" i="6"/>
  <c r="J1236" i="6" s="1"/>
  <c r="L1236" i="6" s="1"/>
  <c r="N1236" i="6" s="1"/>
  <c r="F1308" i="6"/>
  <c r="H1309" i="6"/>
  <c r="J1309" i="6" s="1"/>
  <c r="L1309" i="6" s="1"/>
  <c r="N1309" i="6" s="1"/>
  <c r="F1114" i="6"/>
  <c r="H1115" i="6"/>
  <c r="J1115" i="6" s="1"/>
  <c r="L1115" i="6" s="1"/>
  <c r="N1115" i="6" s="1"/>
  <c r="F1229" i="6"/>
  <c r="H1230" i="6"/>
  <c r="J1230" i="6" s="1"/>
  <c r="L1230" i="6" s="1"/>
  <c r="N1230" i="6" s="1"/>
  <c r="F1083" i="6"/>
  <c r="H1083" i="6" s="1"/>
  <c r="J1083" i="6" s="1"/>
  <c r="L1083" i="6" s="1"/>
  <c r="N1083" i="6" s="1"/>
  <c r="H1084" i="6"/>
  <c r="J1084" i="6" s="1"/>
  <c r="L1084" i="6" s="1"/>
  <c r="N1084" i="6" s="1"/>
  <c r="F1060" i="6"/>
  <c r="H1060" i="6" s="1"/>
  <c r="J1060" i="6" s="1"/>
  <c r="L1060" i="6" s="1"/>
  <c r="N1060" i="6" s="1"/>
  <c r="H1061" i="6"/>
  <c r="J1061" i="6" s="1"/>
  <c r="L1061" i="6" s="1"/>
  <c r="N1061" i="6" s="1"/>
  <c r="F1094" i="6"/>
  <c r="H1095" i="6"/>
  <c r="J1095" i="6" s="1"/>
  <c r="L1095" i="6" s="1"/>
  <c r="N1095" i="6" s="1"/>
  <c r="F1127" i="6"/>
  <c r="H1128" i="6"/>
  <c r="J1128" i="6" s="1"/>
  <c r="L1128" i="6" s="1"/>
  <c r="N1128" i="6" s="1"/>
  <c r="F1165" i="6"/>
  <c r="H1166" i="6"/>
  <c r="J1166" i="6" s="1"/>
  <c r="L1166" i="6" s="1"/>
  <c r="N1166" i="6" s="1"/>
  <c r="F1202" i="6"/>
  <c r="H1203" i="6"/>
  <c r="J1203" i="6" s="1"/>
  <c r="L1203" i="6" s="1"/>
  <c r="N1203" i="6" s="1"/>
  <c r="F1245" i="6"/>
  <c r="H1246" i="6"/>
  <c r="J1246" i="6" s="1"/>
  <c r="L1246" i="6" s="1"/>
  <c r="N1246" i="6" s="1"/>
  <c r="F1279" i="6"/>
  <c r="H1280" i="6"/>
  <c r="J1280" i="6" s="1"/>
  <c r="L1280" i="6" s="1"/>
  <c r="N1280" i="6" s="1"/>
  <c r="F1316" i="6"/>
  <c r="H1317" i="6"/>
  <c r="J1317" i="6" s="1"/>
  <c r="L1317" i="6" s="1"/>
  <c r="N1317" i="6" s="1"/>
  <c r="F1364" i="6"/>
  <c r="H1365" i="6"/>
  <c r="J1365" i="6" s="1"/>
  <c r="L1365" i="6" s="1"/>
  <c r="N1365" i="6" s="1"/>
  <c r="H1052" i="6"/>
  <c r="J1052" i="6" s="1"/>
  <c r="L1052" i="6" s="1"/>
  <c r="N1052" i="6" s="1"/>
  <c r="F1122" i="6"/>
  <c r="H1122" i="6" s="1"/>
  <c r="J1122" i="6" s="1"/>
  <c r="L1122" i="6" s="1"/>
  <c r="N1122" i="6" s="1"/>
  <c r="H1123" i="6"/>
  <c r="J1123" i="6" s="1"/>
  <c r="L1123" i="6" s="1"/>
  <c r="N1123" i="6" s="1"/>
  <c r="F1241" i="6"/>
  <c r="H1242" i="6"/>
  <c r="J1242" i="6" s="1"/>
  <c r="L1242" i="6" s="1"/>
  <c r="N1242" i="6" s="1"/>
  <c r="F1312" i="6"/>
  <c r="H1313" i="6"/>
  <c r="J1313" i="6" s="1"/>
  <c r="L1313" i="6" s="1"/>
  <c r="N1313" i="6" s="1"/>
  <c r="F1027" i="6"/>
  <c r="H1027" i="6" s="1"/>
  <c r="J1027" i="6" s="1"/>
  <c r="L1027" i="6" s="1"/>
  <c r="N1027" i="6" s="1"/>
  <c r="H1028" i="6"/>
  <c r="J1028" i="6" s="1"/>
  <c r="L1028" i="6" s="1"/>
  <c r="N1028" i="6" s="1"/>
  <c r="F1074" i="6"/>
  <c r="H1074" i="6" s="1"/>
  <c r="J1074" i="6" s="1"/>
  <c r="L1074" i="6" s="1"/>
  <c r="N1074" i="6" s="1"/>
  <c r="H1075" i="6"/>
  <c r="J1075" i="6" s="1"/>
  <c r="L1075" i="6" s="1"/>
  <c r="N1075" i="6" s="1"/>
  <c r="H1024" i="6"/>
  <c r="J1024" i="6" s="1"/>
  <c r="L1024" i="6" s="1"/>
  <c r="N1024" i="6" s="1"/>
  <c r="F1101" i="6"/>
  <c r="H1101" i="6" s="1"/>
  <c r="J1101" i="6" s="1"/>
  <c r="L1101" i="6" s="1"/>
  <c r="N1101" i="6" s="1"/>
  <c r="H1102" i="6"/>
  <c r="J1102" i="6" s="1"/>
  <c r="L1102" i="6" s="1"/>
  <c r="N1102" i="6" s="1"/>
  <c r="F1136" i="6"/>
  <c r="H1137" i="6"/>
  <c r="J1137" i="6" s="1"/>
  <c r="L1137" i="6" s="1"/>
  <c r="N1137" i="6" s="1"/>
  <c r="F1177" i="6"/>
  <c r="H1178" i="6"/>
  <c r="J1178" i="6" s="1"/>
  <c r="L1178" i="6" s="1"/>
  <c r="N1178" i="6" s="1"/>
  <c r="F1212" i="6"/>
  <c r="H1213" i="6"/>
  <c r="J1213" i="6" s="1"/>
  <c r="L1213" i="6" s="1"/>
  <c r="N1213" i="6" s="1"/>
  <c r="F1256" i="6"/>
  <c r="H1257" i="6"/>
  <c r="J1257" i="6" s="1"/>
  <c r="L1257" i="6" s="1"/>
  <c r="N1257" i="6" s="1"/>
  <c r="F1296" i="6"/>
  <c r="H1297" i="6"/>
  <c r="J1297" i="6" s="1"/>
  <c r="L1297" i="6" s="1"/>
  <c r="N1297" i="6" s="1"/>
  <c r="F1339" i="6"/>
  <c r="H1340" i="6"/>
  <c r="J1340" i="6" s="1"/>
  <c r="L1340" i="6" s="1"/>
  <c r="N1340" i="6" s="1"/>
  <c r="F1098" i="6"/>
  <c r="H1098" i="6" s="1"/>
  <c r="J1098" i="6" s="1"/>
  <c r="L1098" i="6" s="1"/>
  <c r="N1098" i="6" s="1"/>
  <c r="H1099" i="6"/>
  <c r="J1099" i="6" s="1"/>
  <c r="L1099" i="6" s="1"/>
  <c r="N1099" i="6" s="1"/>
  <c r="F1131" i="6"/>
  <c r="H1132" i="6"/>
  <c r="J1132" i="6" s="1"/>
  <c r="L1132" i="6" s="1"/>
  <c r="N1132" i="6" s="1"/>
  <c r="F1171" i="6"/>
  <c r="H1172" i="6"/>
  <c r="J1172" i="6" s="1"/>
  <c r="L1172" i="6" s="1"/>
  <c r="N1172" i="6" s="1"/>
  <c r="F1208" i="6"/>
  <c r="H1209" i="6"/>
  <c r="J1209" i="6" s="1"/>
  <c r="L1209" i="6" s="1"/>
  <c r="N1209" i="6" s="1"/>
  <c r="F1250" i="6"/>
  <c r="H1251" i="6"/>
  <c r="J1251" i="6" s="1"/>
  <c r="L1251" i="6" s="1"/>
  <c r="N1251" i="6" s="1"/>
  <c r="F1291" i="6"/>
  <c r="H1292" i="6"/>
  <c r="J1292" i="6" s="1"/>
  <c r="L1292" i="6" s="1"/>
  <c r="N1292" i="6" s="1"/>
  <c r="F1321" i="6"/>
  <c r="H1322" i="6"/>
  <c r="J1322" i="6" s="1"/>
  <c r="L1322" i="6" s="1"/>
  <c r="N1322" i="6" s="1"/>
  <c r="F1369" i="6"/>
  <c r="H1370" i="6"/>
  <c r="J1370" i="6" s="1"/>
  <c r="L1370" i="6" s="1"/>
  <c r="N1370" i="6" s="1"/>
  <c r="F1194" i="6"/>
  <c r="F1353" i="6"/>
  <c r="H1353" i="6" s="1"/>
  <c r="J1353" i="6" s="1"/>
  <c r="L1353" i="6" s="1"/>
  <c r="N1353" i="6" s="1"/>
  <c r="F1374" i="6"/>
  <c r="F1079" i="6"/>
  <c r="H1080" i="6"/>
  <c r="J1080" i="6" s="1"/>
  <c r="L1080" i="6" s="1"/>
  <c r="N1080" i="6" s="1"/>
  <c r="F1221" i="6"/>
  <c r="H1222" i="6"/>
  <c r="J1222" i="6" s="1"/>
  <c r="L1222" i="6" s="1"/>
  <c r="N1222" i="6" s="1"/>
  <c r="F1217" i="6"/>
  <c r="H1218" i="6"/>
  <c r="J1218" i="6" s="1"/>
  <c r="L1218" i="6" s="1"/>
  <c r="N1218" i="6" s="1"/>
  <c r="F1159" i="6"/>
  <c r="F1358" i="6"/>
  <c r="H1358" i="6" s="1"/>
  <c r="J1358" i="6" s="1"/>
  <c r="L1358" i="6" s="1"/>
  <c r="N1358" i="6" s="1"/>
  <c r="F1143" i="6"/>
  <c r="H1143" i="6" s="1"/>
  <c r="J1143" i="6" s="1"/>
  <c r="L1143" i="6" s="1"/>
  <c r="N1143" i="6" s="1"/>
  <c r="H1144" i="6"/>
  <c r="J1144" i="6" s="1"/>
  <c r="L1144" i="6" s="1"/>
  <c r="N1144" i="6" s="1"/>
  <c r="F1381" i="6"/>
  <c r="H1382" i="6"/>
  <c r="J1382" i="6" s="1"/>
  <c r="L1382" i="6" s="1"/>
  <c r="N1382" i="6" s="1"/>
  <c r="F1140" i="6"/>
  <c r="H1141" i="6"/>
  <c r="J1141" i="6" s="1"/>
  <c r="L1141" i="6" s="1"/>
  <c r="N1141" i="6" s="1"/>
  <c r="F1261" i="6"/>
  <c r="H1262" i="6"/>
  <c r="J1262" i="6" s="1"/>
  <c r="L1262" i="6" s="1"/>
  <c r="N1262" i="6" s="1"/>
  <c r="F1346" i="6"/>
  <c r="H1347" i="6"/>
  <c r="J1347" i="6" s="1"/>
  <c r="L1347" i="6" s="1"/>
  <c r="N1347" i="6" s="1"/>
  <c r="H1066" i="6"/>
  <c r="J1066" i="6" s="1"/>
  <c r="L1066" i="6" s="1"/>
  <c r="N1066" i="6" s="1"/>
  <c r="F1154" i="6"/>
  <c r="H1155" i="6"/>
  <c r="J1155" i="6" s="1"/>
  <c r="L1155" i="6" s="1"/>
  <c r="N1155" i="6" s="1"/>
  <c r="A746" i="6"/>
  <c r="A1089" i="6"/>
  <c r="A464" i="6"/>
  <c r="A541" i="6"/>
  <c r="A823" i="6"/>
  <c r="A676" i="6"/>
  <c r="A557" i="6"/>
  <c r="A887" i="6"/>
  <c r="A556" i="6"/>
  <c r="A652" i="6"/>
  <c r="A780" i="6"/>
  <c r="A935" i="6"/>
  <c r="A539" i="6"/>
  <c r="A902" i="6"/>
  <c r="A659" i="6"/>
  <c r="A638" i="6"/>
  <c r="A664" i="6"/>
  <c r="A1083" i="6"/>
  <c r="A533" i="6"/>
  <c r="A759" i="6"/>
  <c r="A911" i="6"/>
  <c r="A721" i="6"/>
  <c r="A485" i="6"/>
  <c r="A641" i="6"/>
  <c r="A581" i="6"/>
  <c r="A568" i="6"/>
  <c r="A561" i="6"/>
  <c r="A587" i="6"/>
  <c r="A451" i="6"/>
  <c r="A1007" i="6"/>
  <c r="A481" i="6"/>
  <c r="A980" i="6"/>
  <c r="A668" i="6"/>
  <c r="A528" i="6"/>
  <c r="A674" i="6"/>
  <c r="A546" i="6"/>
  <c r="A806" i="6"/>
  <c r="A562" i="6"/>
  <c r="A747" i="6"/>
  <c r="A812" i="6"/>
  <c r="A1085" i="6"/>
  <c r="A930" i="6"/>
  <c r="A639" i="6"/>
  <c r="A682" i="6"/>
  <c r="A571" i="6"/>
  <c r="A490" i="6"/>
  <c r="A933" i="6"/>
  <c r="A749" i="6"/>
  <c r="A925" i="6"/>
  <c r="A851" i="6"/>
  <c r="A549" i="6"/>
  <c r="A1092" i="6"/>
  <c r="A1086" i="6"/>
  <c r="A602" i="6"/>
  <c r="A765" i="6"/>
  <c r="A811" i="6"/>
  <c r="A633" i="6"/>
  <c r="A554" i="6"/>
  <c r="A816" i="6"/>
  <c r="A1029" i="6"/>
  <c r="A655" i="6"/>
  <c r="A491" i="6"/>
  <c r="A1030" i="6"/>
  <c r="A501" i="6"/>
  <c r="A790" i="6"/>
  <c r="A724" i="6"/>
  <c r="A564" i="6"/>
  <c r="A696" i="6"/>
  <c r="A904" i="6"/>
  <c r="A955" i="6"/>
  <c r="A697" i="6"/>
  <c r="A478" i="6"/>
  <c r="A750" i="6"/>
  <c r="A1055" i="6"/>
  <c r="A1065" i="6"/>
  <c r="A819" i="6"/>
  <c r="A842" i="6"/>
  <c r="A1019" i="6"/>
  <c r="A709" i="6"/>
  <c r="A1008" i="6"/>
  <c r="A853" i="6"/>
  <c r="A777" i="6"/>
  <c r="A770" i="6"/>
  <c r="A813" i="6"/>
  <c r="A784" i="6"/>
  <c r="A507" i="6"/>
  <c r="A660" i="6"/>
  <c r="A591" i="6"/>
  <c r="A772" i="6"/>
  <c r="A433" i="6"/>
  <c r="A626" i="6"/>
  <c r="A496" i="6"/>
  <c r="A495" i="6"/>
  <c r="A1056" i="6"/>
  <c r="A761" i="6"/>
  <c r="A688" i="6"/>
  <c r="A649" i="6"/>
  <c r="A855" i="6"/>
  <c r="A446" i="6"/>
  <c r="A577" i="6"/>
  <c r="A631" i="6"/>
  <c r="A428" i="6"/>
  <c r="A754" i="6"/>
  <c r="A435" i="6"/>
  <c r="A914" i="6"/>
  <c r="A870" i="6"/>
  <c r="A453" i="6"/>
  <c r="A886" i="6"/>
  <c r="A566" i="6"/>
  <c r="A1027" i="6"/>
  <c r="A913" i="6"/>
  <c r="A643" i="6"/>
  <c r="A815" i="6"/>
  <c r="A525" i="6"/>
  <c r="A976" i="6"/>
  <c r="A632" i="6"/>
  <c r="A1014" i="6"/>
  <c r="A504" i="6"/>
  <c r="A828" i="6"/>
  <c r="A938" i="6"/>
  <c r="A476" i="6"/>
  <c r="A657" i="6"/>
  <c r="A871" i="6"/>
  <c r="A663" i="6"/>
  <c r="A650" i="6"/>
  <c r="A760" i="6"/>
  <c r="A891" i="6"/>
  <c r="A503" i="6"/>
  <c r="A567" i="6"/>
  <c r="A896" i="6"/>
  <c r="A1064" i="6"/>
  <c r="A683" i="6"/>
  <c r="A796" i="6"/>
  <c r="A599" i="6"/>
  <c r="A534" i="6"/>
  <c r="A513" i="6"/>
  <c r="A712" i="6"/>
  <c r="A922" i="6"/>
  <c r="A1052" i="6"/>
  <c r="A722" i="6"/>
  <c r="A552" i="6"/>
  <c r="A499" i="6"/>
  <c r="A1031" i="6"/>
  <c r="A764" i="6"/>
  <c r="A947" i="6"/>
  <c r="A773" i="6"/>
  <c r="A524" i="6"/>
  <c r="A837" i="6"/>
  <c r="A839" i="6"/>
  <c r="A910" i="6"/>
  <c r="A1004" i="6"/>
  <c r="A758" i="6"/>
  <c r="A445" i="6"/>
  <c r="A1071" i="6"/>
  <c r="A1059" i="6"/>
  <c r="A439" i="6"/>
  <c r="A817" i="6"/>
  <c r="A845" i="6"/>
  <c r="A474" i="6"/>
  <c r="A448" i="6"/>
  <c r="A803" i="6"/>
  <c r="A1032" i="6"/>
  <c r="A509" i="6"/>
  <c r="A861" i="6"/>
  <c r="A848" i="6"/>
  <c r="A730" i="6"/>
  <c r="A523" i="6"/>
  <c r="A1026" i="6"/>
  <c r="A550" i="6"/>
  <c r="A897" i="6"/>
  <c r="A782" i="6"/>
  <c r="A630" i="6"/>
  <c r="A637" i="6"/>
  <c r="A456" i="6"/>
  <c r="A701" i="6"/>
  <c r="A538" i="6"/>
  <c r="A654" i="6"/>
  <c r="A1025" i="6"/>
  <c r="A442" i="6"/>
  <c r="A673" i="6"/>
  <c r="A977" i="6"/>
  <c r="A596" i="6"/>
  <c r="A598" i="6"/>
  <c r="A858" i="6"/>
  <c r="A436" i="6"/>
  <c r="A775" i="6"/>
  <c r="A1096" i="6"/>
  <c r="A461" i="6"/>
  <c r="A885" i="6"/>
  <c r="A752" i="6"/>
  <c r="A488" i="6"/>
  <c r="A558" i="6"/>
  <c r="A510" i="6"/>
  <c r="A512" i="6"/>
  <c r="A578" i="6"/>
  <c r="A1077" i="6"/>
  <c r="A469" i="6"/>
  <c r="A1097" i="6"/>
  <c r="A588" i="6"/>
  <c r="A729" i="6"/>
  <c r="A762" i="6"/>
  <c r="A753" i="6"/>
  <c r="A645" i="6"/>
  <c r="A634" i="6"/>
  <c r="A936" i="6"/>
  <c r="A455" i="6"/>
  <c r="A708" i="6"/>
  <c r="A906" i="6"/>
  <c r="A802" i="6"/>
  <c r="A705" i="6"/>
  <c r="A576" i="6"/>
  <c r="A470" i="6"/>
  <c r="A787" i="6"/>
  <c r="A912" i="6"/>
  <c r="A889" i="6"/>
  <c r="A725" i="6"/>
  <c r="A881" i="6"/>
  <c r="A450" i="6"/>
  <c r="A1074" i="6"/>
  <c r="A1018" i="6"/>
  <c r="A1076" i="6"/>
  <c r="A755" i="6"/>
  <c r="A799" i="6"/>
  <c r="A693" i="6"/>
  <c r="A767" i="6"/>
  <c r="A1057" i="6"/>
  <c r="A484" i="6"/>
  <c r="A917" i="6"/>
  <c r="A1016" i="6"/>
  <c r="A1023" i="6"/>
  <c r="A779" i="6"/>
  <c r="A727" i="6"/>
  <c r="A876" i="6"/>
  <c r="A713" i="6"/>
  <c r="A950" i="6"/>
  <c r="A569" i="6"/>
  <c r="A975" i="6"/>
  <c r="A497" i="6"/>
  <c r="A687" i="6"/>
  <c r="A575" i="6"/>
  <c r="A864" i="6"/>
  <c r="A443" i="6"/>
  <c r="A719" i="6"/>
  <c r="A590" i="6"/>
  <c r="A793" i="6"/>
  <c r="A726" i="6"/>
  <c r="A850" i="6"/>
  <c r="A743" i="6"/>
  <c r="A831" i="6"/>
  <c r="A915" i="6"/>
  <c r="A543" i="6"/>
  <c r="A741" i="6"/>
  <c r="A892" i="6"/>
  <c r="A768" i="6"/>
  <c r="A647" i="6"/>
  <c r="A829" i="6"/>
  <c r="A458" i="6"/>
  <c r="A489" i="6"/>
  <c r="A872" i="6"/>
  <c r="A698" i="6"/>
  <c r="A704" i="6"/>
  <c r="A707" i="6"/>
  <c r="A781" i="6"/>
  <c r="A582" i="6"/>
  <c r="A559" i="6"/>
  <c r="A843" i="6"/>
  <c r="A680" i="6"/>
  <c r="A720" i="6"/>
  <c r="A929" i="6"/>
  <c r="A795" i="6"/>
  <c r="A424" i="6"/>
  <c r="A475" i="6"/>
  <c r="A745" i="6"/>
  <c r="A592" i="6"/>
  <c r="A838" i="6"/>
  <c r="A498" i="6"/>
  <c r="A805" i="6"/>
  <c r="A1091" i="6"/>
  <c r="A834" i="6"/>
  <c r="A666" i="6"/>
  <c r="A527" i="6"/>
  <c r="A440" i="6"/>
  <c r="A648" i="6"/>
  <c r="A832" i="6"/>
  <c r="A646" i="6"/>
  <c r="A678" i="6"/>
  <c r="A628" i="6"/>
  <c r="A808" i="6"/>
  <c r="A536" i="6"/>
  <c r="A822" i="6"/>
  <c r="A597" i="6"/>
  <c r="A444" i="6"/>
  <c r="A544" i="6"/>
  <c r="A748" i="6"/>
  <c r="A430" i="6"/>
  <c r="A825" i="6"/>
  <c r="A437" i="6"/>
  <c r="A681" i="6"/>
  <c r="A854" i="6"/>
  <c r="A919" i="6"/>
  <c r="A1087" i="6"/>
  <c r="A529" i="6"/>
  <c r="A580" i="6"/>
  <c r="A928" i="6"/>
  <c r="A833" i="6"/>
  <c r="A1066" i="6"/>
  <c r="A1040" i="6"/>
  <c r="A900" i="6"/>
  <c r="A789" i="6"/>
  <c r="A766" i="6"/>
  <c r="A903" i="6"/>
  <c r="A466" i="6"/>
  <c r="A875" i="6"/>
  <c r="A1015" i="6"/>
  <c r="A798" i="6"/>
  <c r="A662" i="6"/>
  <c r="A1088" i="6"/>
  <c r="A586" i="6"/>
  <c r="A791" i="6"/>
  <c r="A899" i="6"/>
  <c r="A574" i="6"/>
  <c r="A797" i="6"/>
  <c r="A572" i="6"/>
  <c r="A1037" i="6"/>
  <c r="A431" i="6"/>
  <c r="A686" i="6"/>
  <c r="A679" i="6"/>
  <c r="A703" i="6"/>
  <c r="A661" i="6"/>
  <c r="A594" i="6"/>
  <c r="A505" i="6"/>
  <c r="A432" i="6"/>
  <c r="A827" i="6"/>
  <c r="A1035" i="6"/>
  <c r="A1079" i="6"/>
  <c r="A776" i="6"/>
  <c r="A472" i="6"/>
  <c r="A667" i="6"/>
  <c r="A844" i="6"/>
  <c r="A695" i="6"/>
  <c r="A601" i="6"/>
  <c r="A480" i="6"/>
  <c r="A918" i="6"/>
  <c r="A1062" i="6"/>
  <c r="A953" i="6"/>
  <c r="A941" i="6"/>
  <c r="A565" i="6"/>
  <c r="A1081" i="6"/>
  <c r="A702" i="6"/>
  <c r="A859" i="6"/>
  <c r="A856" i="6"/>
  <c r="A457" i="6"/>
  <c r="A826" i="6"/>
  <c r="A849" i="6"/>
  <c r="A583" i="6"/>
  <c r="A425" i="6"/>
  <c r="A553" i="6"/>
  <c r="A878" i="6"/>
  <c r="A821" i="6"/>
  <c r="A956" i="6"/>
  <c r="A771" i="6"/>
  <c r="A675" i="6"/>
  <c r="A540" i="6"/>
  <c r="A671" i="6"/>
  <c r="A460" i="6"/>
  <c r="A1072" i="6"/>
  <c r="A1068" i="6"/>
  <c r="A783" i="6"/>
  <c r="A921" i="6"/>
  <c r="A535" i="6"/>
  <c r="A1009" i="6"/>
  <c r="A644" i="6"/>
  <c r="A863" i="6"/>
  <c r="A1073" i="6"/>
  <c r="A447" i="6"/>
  <c r="A1093" i="6"/>
  <c r="A788" i="6"/>
  <c r="A973" i="6"/>
  <c r="A836" i="6"/>
  <c r="A860" i="6"/>
  <c r="A940" i="6"/>
  <c r="A932" i="6"/>
  <c r="A438" i="6"/>
  <c r="A1051" i="6"/>
  <c r="A459" i="6"/>
  <c r="A1034" i="6"/>
  <c r="A1020" i="6"/>
  <c r="A742" i="6"/>
  <c r="A522" i="6"/>
  <c r="A909" i="6"/>
  <c r="A669" i="6"/>
  <c r="A1082" i="6"/>
  <c r="A691" i="6"/>
  <c r="A1022" i="6"/>
  <c r="A452" i="6"/>
  <c r="A1078" i="6"/>
  <c r="A653" i="6"/>
  <c r="A890" i="6"/>
  <c r="A1063" i="6"/>
  <c r="A1060" i="6"/>
  <c r="A807" i="6"/>
  <c r="A774" i="6"/>
  <c r="A584" i="6"/>
  <c r="A894" i="6"/>
  <c r="A756" i="6"/>
  <c r="A951" i="6"/>
  <c r="A551" i="6"/>
  <c r="A547" i="6"/>
  <c r="A882" i="6"/>
  <c r="A471" i="6"/>
  <c r="A692" i="6"/>
  <c r="A640" i="6"/>
  <c r="A846" i="6"/>
  <c r="A895" i="6"/>
  <c r="A1095" i="6"/>
  <c r="A429" i="6"/>
  <c r="A978" i="6"/>
  <c r="A1069" i="6"/>
  <c r="A636" i="6"/>
  <c r="A874" i="6"/>
  <c r="A840" i="6"/>
  <c r="A810" i="6"/>
  <c r="A482" i="6"/>
  <c r="A1003" i="6"/>
  <c r="A493" i="6"/>
  <c r="A952" i="6"/>
  <c r="A502" i="6"/>
  <c r="A972" i="6"/>
  <c r="A1058" i="6"/>
  <c r="A905" i="6"/>
  <c r="A1036" i="6"/>
  <c r="A426" i="6"/>
  <c r="A463" i="6"/>
  <c r="A883" i="6"/>
  <c r="A483" i="6"/>
  <c r="A545" i="6"/>
  <c r="A926" i="6"/>
  <c r="A879" i="6"/>
  <c r="A1054" i="6"/>
  <c r="A937" i="6"/>
  <c r="A492" i="6"/>
  <c r="A710" i="6"/>
  <c r="A700" i="6"/>
  <c r="A530" i="6"/>
  <c r="A531" i="6"/>
  <c r="A1070" i="6"/>
  <c r="A820" i="6"/>
  <c r="A785" i="6"/>
  <c r="A908" i="6"/>
  <c r="A981" i="6"/>
  <c r="A948" i="6"/>
  <c r="A685" i="6"/>
  <c r="A467" i="6"/>
  <c r="A923" i="6"/>
  <c r="A520" i="6"/>
  <c r="A627" i="6"/>
  <c r="A689" i="6"/>
  <c r="A694" i="6"/>
  <c r="A570" i="6"/>
  <c r="A508" i="6"/>
  <c r="A593" i="6"/>
  <c r="A1039" i="6"/>
  <c r="A656" i="6"/>
  <c r="A487" i="6"/>
  <c r="A670" i="6"/>
  <c r="A801" i="6"/>
  <c r="A477" i="6"/>
  <c r="F1269" i="6" l="1"/>
  <c r="H1300" i="6"/>
  <c r="J1300" i="6" s="1"/>
  <c r="L1300" i="6" s="1"/>
  <c r="N1300" i="6" s="1"/>
  <c r="F1216" i="6"/>
  <c r="H1217" i="6"/>
  <c r="J1217" i="6" s="1"/>
  <c r="L1217" i="6" s="1"/>
  <c r="N1217" i="6" s="1"/>
  <c r="H1346" i="6"/>
  <c r="J1346" i="6" s="1"/>
  <c r="L1346" i="6" s="1"/>
  <c r="N1346" i="6" s="1"/>
  <c r="F1345" i="6"/>
  <c r="H1140" i="6"/>
  <c r="J1140" i="6" s="1"/>
  <c r="L1140" i="6" s="1"/>
  <c r="N1140" i="6" s="1"/>
  <c r="F1139" i="6"/>
  <c r="F1368" i="6"/>
  <c r="H1369" i="6"/>
  <c r="J1369" i="6" s="1"/>
  <c r="L1369" i="6" s="1"/>
  <c r="N1369" i="6" s="1"/>
  <c r="F1207" i="6"/>
  <c r="H1208" i="6"/>
  <c r="J1208" i="6" s="1"/>
  <c r="L1208" i="6" s="1"/>
  <c r="N1208" i="6" s="1"/>
  <c r="F1338" i="6"/>
  <c r="H1339" i="6"/>
  <c r="J1339" i="6" s="1"/>
  <c r="L1339" i="6" s="1"/>
  <c r="N1339" i="6" s="1"/>
  <c r="F1176" i="6"/>
  <c r="H1177" i="6"/>
  <c r="J1177" i="6" s="1"/>
  <c r="L1177" i="6" s="1"/>
  <c r="N1177" i="6" s="1"/>
  <c r="F1278" i="6"/>
  <c r="H1279" i="6"/>
  <c r="J1279" i="6" s="1"/>
  <c r="L1279" i="6" s="1"/>
  <c r="N1279" i="6" s="1"/>
  <c r="F1201" i="6"/>
  <c r="H1201" i="6" s="1"/>
  <c r="J1201" i="6" s="1"/>
  <c r="L1201" i="6" s="1"/>
  <c r="N1201" i="6" s="1"/>
  <c r="H1202" i="6"/>
  <c r="J1202" i="6" s="1"/>
  <c r="L1202" i="6" s="1"/>
  <c r="N1202" i="6" s="1"/>
  <c r="F1126" i="6"/>
  <c r="H1127" i="6"/>
  <c r="J1127" i="6" s="1"/>
  <c r="L1127" i="6" s="1"/>
  <c r="N1127" i="6" s="1"/>
  <c r="F1228" i="6"/>
  <c r="H1229" i="6"/>
  <c r="J1229" i="6" s="1"/>
  <c r="L1229" i="6" s="1"/>
  <c r="N1229" i="6" s="1"/>
  <c r="H1119" i="6"/>
  <c r="J1119" i="6" s="1"/>
  <c r="L1119" i="6" s="1"/>
  <c r="N1119" i="6" s="1"/>
  <c r="F1118" i="6"/>
  <c r="F1031" i="6"/>
  <c r="H1031" i="6" s="1"/>
  <c r="J1031" i="6" s="1"/>
  <c r="L1031" i="6" s="1"/>
  <c r="N1031" i="6" s="1"/>
  <c r="H1032" i="6"/>
  <c r="J1032" i="6" s="1"/>
  <c r="L1032" i="6" s="1"/>
  <c r="N1032" i="6" s="1"/>
  <c r="F1104" i="6"/>
  <c r="H1104" i="6" s="1"/>
  <c r="J1104" i="6" s="1"/>
  <c r="L1104" i="6" s="1"/>
  <c r="N1104" i="6" s="1"/>
  <c r="H1105" i="6"/>
  <c r="J1105" i="6" s="1"/>
  <c r="L1105" i="6" s="1"/>
  <c r="N1105" i="6" s="1"/>
  <c r="F1220" i="6"/>
  <c r="H1220" i="6" s="1"/>
  <c r="J1220" i="6" s="1"/>
  <c r="L1220" i="6" s="1"/>
  <c r="N1220" i="6" s="1"/>
  <c r="H1221" i="6"/>
  <c r="J1221" i="6" s="1"/>
  <c r="L1221" i="6" s="1"/>
  <c r="N1221" i="6" s="1"/>
  <c r="H1269" i="6"/>
  <c r="J1269" i="6" s="1"/>
  <c r="L1269" i="6" s="1"/>
  <c r="N1269" i="6" s="1"/>
  <c r="F1260" i="6"/>
  <c r="H1261" i="6"/>
  <c r="J1261" i="6" s="1"/>
  <c r="L1261" i="6" s="1"/>
  <c r="N1261" i="6" s="1"/>
  <c r="F1380" i="6"/>
  <c r="H1381" i="6"/>
  <c r="J1381" i="6" s="1"/>
  <c r="L1381" i="6" s="1"/>
  <c r="N1381" i="6" s="1"/>
  <c r="F1158" i="6"/>
  <c r="H1159" i="6"/>
  <c r="J1159" i="6" s="1"/>
  <c r="L1159" i="6" s="1"/>
  <c r="N1159" i="6" s="1"/>
  <c r="F1193" i="6"/>
  <c r="H1194" i="6"/>
  <c r="J1194" i="6" s="1"/>
  <c r="L1194" i="6" s="1"/>
  <c r="N1194" i="6" s="1"/>
  <c r="F1320" i="6"/>
  <c r="H1321" i="6"/>
  <c r="J1321" i="6" s="1"/>
  <c r="L1321" i="6" s="1"/>
  <c r="N1321" i="6" s="1"/>
  <c r="F1249" i="6"/>
  <c r="H1250" i="6"/>
  <c r="J1250" i="6" s="1"/>
  <c r="L1250" i="6" s="1"/>
  <c r="N1250" i="6" s="1"/>
  <c r="F1170" i="6"/>
  <c r="H1171" i="6"/>
  <c r="J1171" i="6" s="1"/>
  <c r="L1171" i="6" s="1"/>
  <c r="N1171" i="6" s="1"/>
  <c r="F1295" i="6"/>
  <c r="H1295" i="6" s="1"/>
  <c r="J1295" i="6" s="1"/>
  <c r="L1295" i="6" s="1"/>
  <c r="N1295" i="6" s="1"/>
  <c r="H1296" i="6"/>
  <c r="J1296" i="6" s="1"/>
  <c r="L1296" i="6" s="1"/>
  <c r="N1296" i="6" s="1"/>
  <c r="F1211" i="6"/>
  <c r="H1211" i="6" s="1"/>
  <c r="J1211" i="6" s="1"/>
  <c r="L1211" i="6" s="1"/>
  <c r="N1211" i="6" s="1"/>
  <c r="H1212" i="6"/>
  <c r="J1212" i="6" s="1"/>
  <c r="L1212" i="6" s="1"/>
  <c r="N1212" i="6" s="1"/>
  <c r="F1135" i="6"/>
  <c r="H1135" i="6" s="1"/>
  <c r="J1135" i="6" s="1"/>
  <c r="L1135" i="6" s="1"/>
  <c r="N1135" i="6" s="1"/>
  <c r="H1136" i="6"/>
  <c r="J1136" i="6" s="1"/>
  <c r="L1136" i="6" s="1"/>
  <c r="N1136" i="6" s="1"/>
  <c r="H1020" i="6"/>
  <c r="J1020" i="6" s="1"/>
  <c r="L1020" i="6" s="1"/>
  <c r="N1020" i="6" s="1"/>
  <c r="F1004" i="6"/>
  <c r="F1240" i="6"/>
  <c r="H1241" i="6"/>
  <c r="J1241" i="6" s="1"/>
  <c r="L1241" i="6" s="1"/>
  <c r="N1241" i="6" s="1"/>
  <c r="F1315" i="6"/>
  <c r="H1315" i="6" s="1"/>
  <c r="J1315" i="6" s="1"/>
  <c r="L1315" i="6" s="1"/>
  <c r="N1315" i="6" s="1"/>
  <c r="H1316" i="6"/>
  <c r="J1316" i="6" s="1"/>
  <c r="L1316" i="6" s="1"/>
  <c r="N1316" i="6" s="1"/>
  <c r="F1244" i="6"/>
  <c r="H1244" i="6" s="1"/>
  <c r="J1244" i="6" s="1"/>
  <c r="L1244" i="6" s="1"/>
  <c r="N1244" i="6" s="1"/>
  <c r="H1245" i="6"/>
  <c r="J1245" i="6" s="1"/>
  <c r="L1245" i="6" s="1"/>
  <c r="N1245" i="6" s="1"/>
  <c r="F1164" i="6"/>
  <c r="H1164" i="6" s="1"/>
  <c r="J1164" i="6" s="1"/>
  <c r="L1164" i="6" s="1"/>
  <c r="N1164" i="6" s="1"/>
  <c r="H1165" i="6"/>
  <c r="J1165" i="6" s="1"/>
  <c r="L1165" i="6" s="1"/>
  <c r="N1165" i="6" s="1"/>
  <c r="H1094" i="6"/>
  <c r="J1094" i="6" s="1"/>
  <c r="L1094" i="6" s="1"/>
  <c r="N1094" i="6" s="1"/>
  <c r="F1093" i="6"/>
  <c r="F1113" i="6"/>
  <c r="H1113" i="6" s="1"/>
  <c r="J1113" i="6" s="1"/>
  <c r="L1113" i="6" s="1"/>
  <c r="N1113" i="6" s="1"/>
  <c r="H1114" i="6"/>
  <c r="J1114" i="6" s="1"/>
  <c r="L1114" i="6" s="1"/>
  <c r="N1114" i="6" s="1"/>
  <c r="F1234" i="6"/>
  <c r="H1235" i="6"/>
  <c r="J1235" i="6" s="1"/>
  <c r="L1235" i="6" s="1"/>
  <c r="N1235" i="6" s="1"/>
  <c r="F1036" i="6"/>
  <c r="H1036" i="6" s="1"/>
  <c r="J1036" i="6" s="1"/>
  <c r="L1036" i="6" s="1"/>
  <c r="N1036" i="6" s="1"/>
  <c r="H1037" i="6"/>
  <c r="J1037" i="6" s="1"/>
  <c r="L1037" i="6" s="1"/>
  <c r="N1037" i="6" s="1"/>
  <c r="F1181" i="6"/>
  <c r="H1182" i="6"/>
  <c r="J1182" i="6" s="1"/>
  <c r="L1182" i="6" s="1"/>
  <c r="N1182" i="6" s="1"/>
  <c r="F1265" i="6"/>
  <c r="H1265" i="6" s="1"/>
  <c r="J1265" i="6" s="1"/>
  <c r="L1265" i="6" s="1"/>
  <c r="N1265" i="6" s="1"/>
  <c r="H1266" i="6"/>
  <c r="J1266" i="6" s="1"/>
  <c r="L1266" i="6" s="1"/>
  <c r="N1266" i="6" s="1"/>
  <c r="F1109" i="6"/>
  <c r="H1110" i="6"/>
  <c r="J1110" i="6" s="1"/>
  <c r="L1110" i="6" s="1"/>
  <c r="N1110" i="6" s="1"/>
  <c r="H1299" i="6"/>
  <c r="J1299" i="6" s="1"/>
  <c r="L1299" i="6" s="1"/>
  <c r="N1299" i="6" s="1"/>
  <c r="F1352" i="6"/>
  <c r="H1352" i="6" s="1"/>
  <c r="J1352" i="6" s="1"/>
  <c r="L1352" i="6" s="1"/>
  <c r="N1352" i="6" s="1"/>
  <c r="F1065" i="6"/>
  <c r="H1065" i="6" s="1"/>
  <c r="J1065" i="6" s="1"/>
  <c r="L1065" i="6" s="1"/>
  <c r="N1065" i="6" s="1"/>
  <c r="F1051" i="6"/>
  <c r="H1051" i="6" s="1"/>
  <c r="J1051" i="6" s="1"/>
  <c r="L1051" i="6" s="1"/>
  <c r="N1051" i="6" s="1"/>
  <c r="H1079" i="6"/>
  <c r="J1079" i="6" s="1"/>
  <c r="L1079" i="6" s="1"/>
  <c r="N1079" i="6" s="1"/>
  <c r="F1078" i="6"/>
  <c r="H1078" i="6" s="1"/>
  <c r="J1078" i="6" s="1"/>
  <c r="L1078" i="6" s="1"/>
  <c r="N1078" i="6" s="1"/>
  <c r="F1153" i="6"/>
  <c r="H1154" i="6"/>
  <c r="J1154" i="6" s="1"/>
  <c r="L1154" i="6" s="1"/>
  <c r="N1154" i="6" s="1"/>
  <c r="F1373" i="6"/>
  <c r="H1374" i="6"/>
  <c r="J1374" i="6" s="1"/>
  <c r="L1374" i="6" s="1"/>
  <c r="N1374" i="6" s="1"/>
  <c r="F1290" i="6"/>
  <c r="H1291" i="6"/>
  <c r="J1291" i="6" s="1"/>
  <c r="L1291" i="6" s="1"/>
  <c r="N1291" i="6" s="1"/>
  <c r="F1130" i="6"/>
  <c r="H1130" i="6" s="1"/>
  <c r="J1130" i="6" s="1"/>
  <c r="L1130" i="6" s="1"/>
  <c r="N1130" i="6" s="1"/>
  <c r="H1131" i="6"/>
  <c r="J1131" i="6" s="1"/>
  <c r="L1131" i="6" s="1"/>
  <c r="N1131" i="6" s="1"/>
  <c r="F1255" i="6"/>
  <c r="H1256" i="6"/>
  <c r="J1256" i="6" s="1"/>
  <c r="L1256" i="6" s="1"/>
  <c r="N1256" i="6" s="1"/>
  <c r="F1311" i="6"/>
  <c r="H1311" i="6" s="1"/>
  <c r="J1311" i="6" s="1"/>
  <c r="L1311" i="6" s="1"/>
  <c r="N1311" i="6" s="1"/>
  <c r="H1312" i="6"/>
  <c r="J1312" i="6" s="1"/>
  <c r="L1312" i="6" s="1"/>
  <c r="N1312" i="6" s="1"/>
  <c r="F1363" i="6"/>
  <c r="H1363" i="6" s="1"/>
  <c r="J1363" i="6" s="1"/>
  <c r="L1363" i="6" s="1"/>
  <c r="N1363" i="6" s="1"/>
  <c r="H1364" i="6"/>
  <c r="J1364" i="6" s="1"/>
  <c r="L1364" i="6" s="1"/>
  <c r="N1364" i="6" s="1"/>
  <c r="F1307" i="6"/>
  <c r="H1307" i="6" s="1"/>
  <c r="J1307" i="6" s="1"/>
  <c r="L1307" i="6" s="1"/>
  <c r="N1307" i="6" s="1"/>
  <c r="H1308" i="6"/>
  <c r="J1308" i="6" s="1"/>
  <c r="L1308" i="6" s="1"/>
  <c r="N1308" i="6" s="1"/>
  <c r="F1188" i="6"/>
  <c r="H1189" i="6"/>
  <c r="J1189" i="6" s="1"/>
  <c r="L1189" i="6" s="1"/>
  <c r="N1189" i="6" s="1"/>
  <c r="F1435" i="6"/>
  <c r="A1344" i="6"/>
  <c r="A1359" i="6"/>
  <c r="A1125" i="6"/>
  <c r="A1135" i="6"/>
  <c r="A1348" i="6"/>
  <c r="A1313" i="6"/>
  <c r="A1304" i="6"/>
  <c r="A1228" i="6"/>
  <c r="A1384" i="6"/>
  <c r="A1254" i="6"/>
  <c r="A1120" i="6"/>
  <c r="A1180" i="6"/>
  <c r="A1351" i="6"/>
  <c r="A1178" i="6"/>
  <c r="A1267" i="6"/>
  <c r="A1129" i="6"/>
  <c r="A1231" i="6"/>
  <c r="A1213" i="6"/>
  <c r="A1184" i="6"/>
  <c r="A1277" i="6"/>
  <c r="A1340" i="6"/>
  <c r="A1150" i="6"/>
  <c r="A1196" i="6"/>
  <c r="A1144" i="6"/>
  <c r="A1255" i="6"/>
  <c r="A1323" i="6"/>
  <c r="A1197" i="6"/>
  <c r="A1115" i="6"/>
  <c r="A1305" i="6"/>
  <c r="A1258" i="6"/>
  <c r="A1372" i="6"/>
  <c r="A1366" i="6"/>
  <c r="A1236" i="6"/>
  <c r="A1378" i="6"/>
  <c r="A1278" i="6"/>
  <c r="A1145" i="6"/>
  <c r="A1173" i="6"/>
  <c r="A1383" i="6"/>
  <c r="A1306" i="6"/>
  <c r="A1311" i="6"/>
  <c r="A1251" i="6"/>
  <c r="A1185" i="6"/>
  <c r="A1168" i="6"/>
  <c r="A1280" i="6"/>
  <c r="A1214" i="6"/>
  <c r="A1377" i="6"/>
  <c r="A1246" i="6"/>
  <c r="A1100" i="6"/>
  <c r="A1310" i="6"/>
  <c r="A1166" i="6"/>
  <c r="A1299" i="6"/>
  <c r="A1147" i="6"/>
  <c r="A1226" i="6"/>
  <c r="A1126" i="6"/>
  <c r="A1215" i="6"/>
  <c r="A1223" i="6"/>
  <c r="A1218" i="6"/>
  <c r="A1123" i="6"/>
  <c r="A1362" i="6"/>
  <c r="A1167" i="6"/>
  <c r="A1187" i="6"/>
  <c r="A1211" i="6"/>
  <c r="A1275" i="6"/>
  <c r="A1365" i="6"/>
  <c r="A1293" i="6"/>
  <c r="A1191" i="6"/>
  <c r="A1350" i="6"/>
  <c r="A1272" i="6"/>
  <c r="A1200" i="6"/>
  <c r="A1281" i="6"/>
  <c r="A1249" i="6"/>
  <c r="A1161" i="6"/>
  <c r="A1142" i="6"/>
  <c r="A1292" i="6"/>
  <c r="A1295" i="6"/>
  <c r="A1109" i="6"/>
  <c r="A1301" i="6"/>
  <c r="A1257" i="6"/>
  <c r="A1382" i="6"/>
  <c r="A1108" i="6"/>
  <c r="A1349" i="6"/>
  <c r="A1232" i="6"/>
  <c r="A1302" i="6"/>
  <c r="A1262" i="6"/>
  <c r="A1240" i="6"/>
  <c r="A1099" i="6"/>
  <c r="A1130" i="6"/>
  <c r="A1138" i="6"/>
  <c r="A1361" i="6"/>
  <c r="A1175" i="6"/>
  <c r="A1319" i="6"/>
  <c r="A1117" i="6"/>
  <c r="A1192" i="6"/>
  <c r="A1294" i="6"/>
  <c r="A1263" i="6"/>
  <c r="A1104" i="6"/>
  <c r="A1373" i="6"/>
  <c r="A1118" i="6"/>
  <c r="A1201" i="6"/>
  <c r="A1345" i="6"/>
  <c r="A1357" i="6"/>
  <c r="A1244" i="6"/>
  <c r="A1220" i="6"/>
  <c r="A1352" i="6"/>
  <c r="A1315" i="6"/>
  <c r="A1151" i="6"/>
  <c r="A1346" i="6"/>
  <c r="A1199" i="6"/>
  <c r="A1237" i="6"/>
  <c r="A1170" i="6"/>
  <c r="A1341" i="6"/>
  <c r="A1188" i="6"/>
  <c r="A1156" i="6"/>
  <c r="A1195" i="6"/>
  <c r="A1336" i="6"/>
  <c r="A1133" i="6"/>
  <c r="A1134" i="6"/>
  <c r="A1176" i="6"/>
  <c r="A1107" i="6"/>
  <c r="A1128" i="6"/>
  <c r="A1243" i="6"/>
  <c r="A1264" i="6"/>
  <c r="A1179" i="6"/>
  <c r="A1274" i="6"/>
  <c r="A1317" i="6"/>
  <c r="A1207" i="6"/>
  <c r="A1198" i="6"/>
  <c r="A1233" i="6"/>
  <c r="A1206" i="6"/>
  <c r="A1158" i="6"/>
  <c r="A1385" i="6"/>
  <c r="A1162" i="6"/>
  <c r="A1287" i="6"/>
  <c r="A1116" i="6"/>
  <c r="A1380" i="6"/>
  <c r="A1113" i="6"/>
  <c r="A1152" i="6"/>
  <c r="A1164" i="6"/>
  <c r="A1193" i="6"/>
  <c r="A1234" i="6"/>
  <c r="A1367" i="6"/>
  <c r="A1387" i="6"/>
  <c r="A1190" i="6"/>
  <c r="A1314" i="6"/>
  <c r="A1276" i="6"/>
  <c r="A1181" i="6"/>
  <c r="A1242" i="6"/>
  <c r="A1169" i="6"/>
  <c r="A1320" i="6"/>
  <c r="A1363" i="6"/>
  <c r="A1379" i="6"/>
  <c r="A1260" i="6"/>
  <c r="A1238" i="6"/>
  <c r="A1153" i="6"/>
  <c r="A1160" i="6"/>
  <c r="A1204" i="6"/>
  <c r="A1247" i="6"/>
  <c r="A1149" i="6"/>
  <c r="A1268" i="6"/>
  <c r="A1121" i="6"/>
  <c r="A1111" i="6"/>
  <c r="A1265" i="6"/>
  <c r="A1216" i="6"/>
  <c r="A1124" i="6"/>
  <c r="A1288" i="6"/>
  <c r="A1102" i="6"/>
  <c r="A1139" i="6"/>
  <c r="A1376" i="6"/>
  <c r="A1368" i="6"/>
  <c r="A1253" i="6"/>
  <c r="A1141" i="6"/>
  <c r="A1259" i="6"/>
  <c r="A1370" i="6"/>
  <c r="A1355" i="6"/>
  <c r="A1375" i="6"/>
  <c r="A1343" i="6"/>
  <c r="A1342" i="6"/>
  <c r="A1354" i="6"/>
  <c r="A1371" i="6"/>
  <c r="A1290" i="6"/>
  <c r="A1360" i="6"/>
  <c r="A1146" i="6"/>
  <c r="A1132" i="6"/>
  <c r="A1271" i="6"/>
  <c r="A1222" i="6"/>
  <c r="A1205" i="6"/>
  <c r="A1209" i="6"/>
  <c r="A1155" i="6"/>
  <c r="A1174" i="6"/>
  <c r="A1307" i="6"/>
  <c r="A1210" i="6"/>
  <c r="A1103" i="6"/>
  <c r="A1248" i="6"/>
  <c r="A1112" i="6"/>
  <c r="A1273" i="6"/>
  <c r="A1183" i="6"/>
  <c r="A1157" i="6"/>
  <c r="A1297" i="6"/>
  <c r="A1303" i="6"/>
  <c r="A1338" i="6"/>
  <c r="A1227" i="6"/>
  <c r="A1230" i="6"/>
  <c r="A1356" i="6"/>
  <c r="A1203" i="6"/>
  <c r="A1186" i="6"/>
  <c r="A1318" i="6"/>
  <c r="A1298" i="6"/>
  <c r="A1252" i="6"/>
  <c r="A1322" i="6"/>
  <c r="A1269" i="6"/>
  <c r="A1137" i="6"/>
  <c r="A1309" i="6"/>
  <c r="A1163" i="6"/>
  <c r="A1106" i="6"/>
  <c r="A1219" i="6"/>
  <c r="A1172" i="6"/>
  <c r="F1264" i="6" l="1"/>
  <c r="H1109" i="6"/>
  <c r="J1109" i="6" s="1"/>
  <c r="L1109" i="6" s="1"/>
  <c r="N1109" i="6" s="1"/>
  <c r="F1108" i="6"/>
  <c r="H1108" i="6" s="1"/>
  <c r="J1108" i="6" s="1"/>
  <c r="L1108" i="6" s="1"/>
  <c r="N1108" i="6" s="1"/>
  <c r="F1180" i="6"/>
  <c r="H1180" i="6" s="1"/>
  <c r="J1180" i="6" s="1"/>
  <c r="L1180" i="6" s="1"/>
  <c r="N1180" i="6" s="1"/>
  <c r="H1181" i="6"/>
  <c r="J1181" i="6" s="1"/>
  <c r="L1181" i="6" s="1"/>
  <c r="N1181" i="6" s="1"/>
  <c r="H1240" i="6"/>
  <c r="J1240" i="6" s="1"/>
  <c r="L1240" i="6" s="1"/>
  <c r="N1240" i="6" s="1"/>
  <c r="F1239" i="6"/>
  <c r="F1248" i="6"/>
  <c r="H1248" i="6" s="1"/>
  <c r="J1248" i="6" s="1"/>
  <c r="L1248" i="6" s="1"/>
  <c r="N1248" i="6" s="1"/>
  <c r="H1249" i="6"/>
  <c r="J1249" i="6" s="1"/>
  <c r="L1249" i="6" s="1"/>
  <c r="N1249" i="6" s="1"/>
  <c r="F1192" i="6"/>
  <c r="H1193" i="6"/>
  <c r="J1193" i="6" s="1"/>
  <c r="L1193" i="6" s="1"/>
  <c r="N1193" i="6" s="1"/>
  <c r="F1379" i="6"/>
  <c r="H1379" i="6" s="1"/>
  <c r="J1379" i="6" s="1"/>
  <c r="L1379" i="6" s="1"/>
  <c r="N1379" i="6" s="1"/>
  <c r="H1380" i="6"/>
  <c r="J1380" i="6" s="1"/>
  <c r="L1380" i="6" s="1"/>
  <c r="N1380" i="6" s="1"/>
  <c r="H1126" i="6"/>
  <c r="J1126" i="6" s="1"/>
  <c r="L1126" i="6" s="1"/>
  <c r="N1126" i="6" s="1"/>
  <c r="F1125" i="6"/>
  <c r="H1125" i="6" s="1"/>
  <c r="J1125" i="6" s="1"/>
  <c r="L1125" i="6" s="1"/>
  <c r="N1125" i="6" s="1"/>
  <c r="F1277" i="6"/>
  <c r="H1277" i="6" s="1"/>
  <c r="J1277" i="6" s="1"/>
  <c r="L1277" i="6" s="1"/>
  <c r="N1277" i="6" s="1"/>
  <c r="H1278" i="6"/>
  <c r="J1278" i="6" s="1"/>
  <c r="L1278" i="6" s="1"/>
  <c r="N1278" i="6" s="1"/>
  <c r="F1337" i="6"/>
  <c r="H1338" i="6"/>
  <c r="J1338" i="6" s="1"/>
  <c r="L1338" i="6" s="1"/>
  <c r="N1338" i="6" s="1"/>
  <c r="F1367" i="6"/>
  <c r="H1367" i="6" s="1"/>
  <c r="J1367" i="6" s="1"/>
  <c r="L1367" i="6" s="1"/>
  <c r="N1367" i="6" s="1"/>
  <c r="H1368" i="6"/>
  <c r="J1368" i="6" s="1"/>
  <c r="L1368" i="6" s="1"/>
  <c r="N1368" i="6" s="1"/>
  <c r="F1187" i="6"/>
  <c r="H1187" i="6" s="1"/>
  <c r="J1187" i="6" s="1"/>
  <c r="L1187" i="6" s="1"/>
  <c r="N1187" i="6" s="1"/>
  <c r="H1188" i="6"/>
  <c r="J1188" i="6" s="1"/>
  <c r="L1188" i="6" s="1"/>
  <c r="N1188" i="6" s="1"/>
  <c r="F1254" i="6"/>
  <c r="H1254" i="6" s="1"/>
  <c r="J1254" i="6" s="1"/>
  <c r="L1254" i="6" s="1"/>
  <c r="N1254" i="6" s="1"/>
  <c r="H1255" i="6"/>
  <c r="J1255" i="6" s="1"/>
  <c r="L1255" i="6" s="1"/>
  <c r="N1255" i="6" s="1"/>
  <c r="F1289" i="6"/>
  <c r="H1289" i="6" s="1"/>
  <c r="J1289" i="6" s="1"/>
  <c r="L1289" i="6" s="1"/>
  <c r="N1289" i="6" s="1"/>
  <c r="H1290" i="6"/>
  <c r="J1290" i="6" s="1"/>
  <c r="L1290" i="6" s="1"/>
  <c r="N1290" i="6" s="1"/>
  <c r="F1152" i="6"/>
  <c r="H1152" i="6" s="1"/>
  <c r="J1152" i="6" s="1"/>
  <c r="L1152" i="6" s="1"/>
  <c r="N1152" i="6" s="1"/>
  <c r="H1153" i="6"/>
  <c r="J1153" i="6" s="1"/>
  <c r="L1153" i="6" s="1"/>
  <c r="N1153" i="6" s="1"/>
  <c r="F1088" i="6"/>
  <c r="H1093" i="6"/>
  <c r="J1093" i="6" s="1"/>
  <c r="L1093" i="6" s="1"/>
  <c r="N1093" i="6" s="1"/>
  <c r="F1117" i="6"/>
  <c r="H1117" i="6" s="1"/>
  <c r="J1117" i="6" s="1"/>
  <c r="L1117" i="6" s="1"/>
  <c r="N1117" i="6" s="1"/>
  <c r="H1118" i="6"/>
  <c r="J1118" i="6" s="1"/>
  <c r="L1118" i="6" s="1"/>
  <c r="N1118" i="6" s="1"/>
  <c r="F1344" i="6"/>
  <c r="H1344" i="6" s="1"/>
  <c r="J1344" i="6" s="1"/>
  <c r="L1344" i="6" s="1"/>
  <c r="N1344" i="6" s="1"/>
  <c r="H1345" i="6"/>
  <c r="J1345" i="6" s="1"/>
  <c r="L1345" i="6" s="1"/>
  <c r="N1345" i="6" s="1"/>
  <c r="F1169" i="6"/>
  <c r="H1169" i="6" s="1"/>
  <c r="J1169" i="6" s="1"/>
  <c r="L1169" i="6" s="1"/>
  <c r="N1169" i="6" s="1"/>
  <c r="H1170" i="6"/>
  <c r="J1170" i="6" s="1"/>
  <c r="L1170" i="6" s="1"/>
  <c r="N1170" i="6" s="1"/>
  <c r="F1319" i="6"/>
  <c r="H1319" i="6" s="1"/>
  <c r="J1319" i="6" s="1"/>
  <c r="L1319" i="6" s="1"/>
  <c r="N1319" i="6" s="1"/>
  <c r="H1320" i="6"/>
  <c r="J1320" i="6" s="1"/>
  <c r="L1320" i="6" s="1"/>
  <c r="N1320" i="6" s="1"/>
  <c r="F1157" i="6"/>
  <c r="H1158" i="6"/>
  <c r="J1158" i="6" s="1"/>
  <c r="L1158" i="6" s="1"/>
  <c r="N1158" i="6" s="1"/>
  <c r="F1259" i="6"/>
  <c r="H1259" i="6" s="1"/>
  <c r="J1259" i="6" s="1"/>
  <c r="L1259" i="6" s="1"/>
  <c r="N1259" i="6" s="1"/>
  <c r="H1260" i="6"/>
  <c r="J1260" i="6" s="1"/>
  <c r="L1260" i="6" s="1"/>
  <c r="N1260" i="6" s="1"/>
  <c r="F1227" i="6"/>
  <c r="H1228" i="6"/>
  <c r="J1228" i="6" s="1"/>
  <c r="L1228" i="6" s="1"/>
  <c r="N1228" i="6" s="1"/>
  <c r="F1175" i="6"/>
  <c r="H1176" i="6"/>
  <c r="J1176" i="6" s="1"/>
  <c r="L1176" i="6" s="1"/>
  <c r="N1176" i="6" s="1"/>
  <c r="H1207" i="6"/>
  <c r="J1207" i="6" s="1"/>
  <c r="L1207" i="6" s="1"/>
  <c r="N1207" i="6" s="1"/>
  <c r="F1206" i="6"/>
  <c r="H1216" i="6"/>
  <c r="J1216" i="6" s="1"/>
  <c r="L1216" i="6" s="1"/>
  <c r="N1216" i="6" s="1"/>
  <c r="F1215" i="6"/>
  <c r="H1215" i="6" s="1"/>
  <c r="J1215" i="6" s="1"/>
  <c r="L1215" i="6" s="1"/>
  <c r="N1215" i="6" s="1"/>
  <c r="F1294" i="6"/>
  <c r="F1233" i="6"/>
  <c r="H1233" i="6" s="1"/>
  <c r="J1233" i="6" s="1"/>
  <c r="L1233" i="6" s="1"/>
  <c r="N1233" i="6" s="1"/>
  <c r="H1234" i="6"/>
  <c r="J1234" i="6" s="1"/>
  <c r="L1234" i="6" s="1"/>
  <c r="N1234" i="6" s="1"/>
  <c r="F1372" i="6"/>
  <c r="H1372" i="6" s="1"/>
  <c r="J1372" i="6" s="1"/>
  <c r="L1372" i="6" s="1"/>
  <c r="N1372" i="6" s="1"/>
  <c r="H1373" i="6"/>
  <c r="J1373" i="6" s="1"/>
  <c r="L1373" i="6" s="1"/>
  <c r="N1373" i="6" s="1"/>
  <c r="F1003" i="6"/>
  <c r="H1004" i="6"/>
  <c r="J1004" i="6" s="1"/>
  <c r="L1004" i="6" s="1"/>
  <c r="N1004" i="6" s="1"/>
  <c r="F1134" i="6"/>
  <c r="H1134" i="6" s="1"/>
  <c r="J1134" i="6" s="1"/>
  <c r="L1134" i="6" s="1"/>
  <c r="N1134" i="6" s="1"/>
  <c r="H1139" i="6"/>
  <c r="J1139" i="6" s="1"/>
  <c r="L1139" i="6" s="1"/>
  <c r="N1139" i="6" s="1"/>
  <c r="F1351" i="6"/>
  <c r="H1351" i="6" s="1"/>
  <c r="J1351" i="6" s="1"/>
  <c r="L1351" i="6" s="1"/>
  <c r="N1351" i="6" s="1"/>
  <c r="F1434" i="6"/>
  <c r="H1435" i="6"/>
  <c r="J1435" i="6" s="1"/>
  <c r="L1435" i="6" s="1"/>
  <c r="N1435" i="6" s="1"/>
  <c r="F1388" i="6"/>
  <c r="F1409" i="6"/>
  <c r="F1413" i="6"/>
  <c r="F1425" i="6"/>
  <c r="F1440" i="6"/>
  <c r="F1446" i="6"/>
  <c r="F1463" i="6"/>
  <c r="H1463" i="6" s="1"/>
  <c r="J1463" i="6" s="1"/>
  <c r="L1463" i="6" s="1"/>
  <c r="N1463" i="6" s="1"/>
  <c r="F1465" i="6"/>
  <c r="H1465" i="6" s="1"/>
  <c r="J1465" i="6" s="1"/>
  <c r="L1465" i="6" s="1"/>
  <c r="N1465" i="6" s="1"/>
  <c r="F1431" i="6"/>
  <c r="F1253" i="6" l="1"/>
  <c r="H1253" i="6" s="1"/>
  <c r="J1253" i="6" s="1"/>
  <c r="L1253" i="6" s="1"/>
  <c r="N1253" i="6" s="1"/>
  <c r="H1264" i="6"/>
  <c r="J1264" i="6" s="1"/>
  <c r="L1264" i="6" s="1"/>
  <c r="N1264" i="6" s="1"/>
  <c r="F1445" i="6"/>
  <c r="H1446" i="6"/>
  <c r="J1446" i="6" s="1"/>
  <c r="L1446" i="6" s="1"/>
  <c r="N1446" i="6" s="1"/>
  <c r="F1408" i="6"/>
  <c r="H1408" i="6" s="1"/>
  <c r="J1408" i="6" s="1"/>
  <c r="L1408" i="6" s="1"/>
  <c r="N1408" i="6" s="1"/>
  <c r="H1409" i="6"/>
  <c r="J1409" i="6" s="1"/>
  <c r="L1409" i="6" s="1"/>
  <c r="N1409" i="6" s="1"/>
  <c r="F1238" i="6"/>
  <c r="H1239" i="6"/>
  <c r="J1239" i="6" s="1"/>
  <c r="L1239" i="6" s="1"/>
  <c r="N1239" i="6" s="1"/>
  <c r="F1412" i="6"/>
  <c r="H1412" i="6" s="1"/>
  <c r="J1412" i="6" s="1"/>
  <c r="L1412" i="6" s="1"/>
  <c r="N1412" i="6" s="1"/>
  <c r="H1413" i="6"/>
  <c r="J1413" i="6" s="1"/>
  <c r="L1413" i="6" s="1"/>
  <c r="N1413" i="6" s="1"/>
  <c r="F1288" i="6"/>
  <c r="H1294" i="6"/>
  <c r="J1294" i="6" s="1"/>
  <c r="L1294" i="6" s="1"/>
  <c r="N1294" i="6" s="1"/>
  <c r="F1226" i="6"/>
  <c r="H1226" i="6" s="1"/>
  <c r="J1226" i="6" s="1"/>
  <c r="L1226" i="6" s="1"/>
  <c r="N1226" i="6" s="1"/>
  <c r="H1227" i="6"/>
  <c r="J1227" i="6" s="1"/>
  <c r="L1227" i="6" s="1"/>
  <c r="N1227" i="6" s="1"/>
  <c r="F1151" i="6"/>
  <c r="H1151" i="6" s="1"/>
  <c r="J1151" i="6" s="1"/>
  <c r="L1151" i="6" s="1"/>
  <c r="N1151" i="6" s="1"/>
  <c r="H1157" i="6"/>
  <c r="J1157" i="6" s="1"/>
  <c r="L1157" i="6" s="1"/>
  <c r="N1157" i="6" s="1"/>
  <c r="F1424" i="6"/>
  <c r="H1424" i="6" s="1"/>
  <c r="J1424" i="6" s="1"/>
  <c r="L1424" i="6" s="1"/>
  <c r="N1424" i="6" s="1"/>
  <c r="H1425" i="6"/>
  <c r="J1425" i="6" s="1"/>
  <c r="L1425" i="6" s="1"/>
  <c r="N1425" i="6" s="1"/>
  <c r="H1003" i="6"/>
  <c r="J1003" i="6" s="1"/>
  <c r="L1003" i="6" s="1"/>
  <c r="N1003" i="6" s="1"/>
  <c r="F912" i="6"/>
  <c r="H912" i="6" s="1"/>
  <c r="J912" i="6" s="1"/>
  <c r="L912" i="6" s="1"/>
  <c r="N912" i="6" s="1"/>
  <c r="H1206" i="6"/>
  <c r="J1206" i="6" s="1"/>
  <c r="L1206" i="6" s="1"/>
  <c r="N1206" i="6" s="1"/>
  <c r="F1205" i="6"/>
  <c r="F1430" i="6"/>
  <c r="H1431" i="6"/>
  <c r="J1431" i="6" s="1"/>
  <c r="L1431" i="6" s="1"/>
  <c r="N1431" i="6" s="1"/>
  <c r="F1439" i="6"/>
  <c r="H1440" i="6"/>
  <c r="J1440" i="6" s="1"/>
  <c r="L1440" i="6" s="1"/>
  <c r="N1440" i="6" s="1"/>
  <c r="F1387" i="6"/>
  <c r="H1388" i="6"/>
  <c r="J1388" i="6" s="1"/>
  <c r="L1388" i="6" s="1"/>
  <c r="N1388" i="6" s="1"/>
  <c r="F1433" i="6"/>
  <c r="H1434" i="6"/>
  <c r="J1434" i="6" s="1"/>
  <c r="L1434" i="6" s="1"/>
  <c r="N1434" i="6" s="1"/>
  <c r="H1175" i="6"/>
  <c r="J1175" i="6" s="1"/>
  <c r="L1175" i="6" s="1"/>
  <c r="N1175" i="6" s="1"/>
  <c r="F1174" i="6"/>
  <c r="H1088" i="6"/>
  <c r="J1088" i="6" s="1"/>
  <c r="L1088" i="6" s="1"/>
  <c r="N1088" i="6" s="1"/>
  <c r="F1087" i="6"/>
  <c r="F1336" i="6"/>
  <c r="H1336" i="6" s="1"/>
  <c r="J1336" i="6" s="1"/>
  <c r="L1336" i="6" s="1"/>
  <c r="N1336" i="6" s="1"/>
  <c r="H1337" i="6"/>
  <c r="J1337" i="6" s="1"/>
  <c r="L1337" i="6" s="1"/>
  <c r="N1337" i="6" s="1"/>
  <c r="F1186" i="6"/>
  <c r="H1186" i="6" s="1"/>
  <c r="J1186" i="6" s="1"/>
  <c r="L1186" i="6" s="1"/>
  <c r="N1186" i="6" s="1"/>
  <c r="H1192" i="6"/>
  <c r="J1192" i="6" s="1"/>
  <c r="L1192" i="6" s="1"/>
  <c r="N1192" i="6" s="1"/>
  <c r="D23" i="1"/>
  <c r="F23" i="1" s="1"/>
  <c r="H23" i="1" s="1"/>
  <c r="J23" i="1" s="1"/>
  <c r="L23" i="1" s="1"/>
  <c r="D54" i="1"/>
  <c r="F54" i="1" s="1"/>
  <c r="H54" i="1" s="1"/>
  <c r="J54" i="1" s="1"/>
  <c r="L54" i="1" s="1"/>
  <c r="D65" i="1"/>
  <c r="F1421" i="6"/>
  <c r="D52" i="1"/>
  <c r="F1452" i="6"/>
  <c r="F1419" i="6"/>
  <c r="F1407" i="6"/>
  <c r="F1405" i="6"/>
  <c r="F1462" i="6"/>
  <c r="F1411" i="6"/>
  <c r="H1411" i="6" s="1"/>
  <c r="J1411" i="6" s="1"/>
  <c r="L1411" i="6" s="1"/>
  <c r="N1411" i="6" s="1"/>
  <c r="D60" i="1"/>
  <c r="F60" i="1" s="1"/>
  <c r="H60" i="1" s="1"/>
  <c r="J60" i="1" s="1"/>
  <c r="L60" i="1" s="1"/>
  <c r="F1451" i="6" l="1"/>
  <c r="H1452" i="6"/>
  <c r="J1452" i="6" s="1"/>
  <c r="L1452" i="6" s="1"/>
  <c r="N1452" i="6" s="1"/>
  <c r="F1432" i="6"/>
  <c r="H1432" i="6" s="1"/>
  <c r="J1432" i="6" s="1"/>
  <c r="L1432" i="6" s="1"/>
  <c r="N1432" i="6" s="1"/>
  <c r="H1433" i="6"/>
  <c r="J1433" i="6" s="1"/>
  <c r="L1433" i="6" s="1"/>
  <c r="N1433" i="6" s="1"/>
  <c r="F1438" i="6"/>
  <c r="H1439" i="6"/>
  <c r="J1439" i="6" s="1"/>
  <c r="L1439" i="6" s="1"/>
  <c r="N1439" i="6" s="1"/>
  <c r="F1418" i="6"/>
  <c r="H1418" i="6" s="1"/>
  <c r="J1418" i="6" s="1"/>
  <c r="L1418" i="6" s="1"/>
  <c r="N1418" i="6" s="1"/>
  <c r="H1419" i="6"/>
  <c r="J1419" i="6" s="1"/>
  <c r="L1419" i="6" s="1"/>
  <c r="N1419" i="6" s="1"/>
  <c r="D64" i="1"/>
  <c r="F64" i="1" s="1"/>
  <c r="H64" i="1" s="1"/>
  <c r="J64" i="1" s="1"/>
  <c r="L64" i="1" s="1"/>
  <c r="F65" i="1"/>
  <c r="H65" i="1" s="1"/>
  <c r="J65" i="1" s="1"/>
  <c r="L65" i="1" s="1"/>
  <c r="H1087" i="6"/>
  <c r="J1087" i="6" s="1"/>
  <c r="L1087" i="6" s="1"/>
  <c r="N1087" i="6" s="1"/>
  <c r="H1205" i="6"/>
  <c r="J1205" i="6" s="1"/>
  <c r="L1205" i="6" s="1"/>
  <c r="N1205" i="6" s="1"/>
  <c r="F1406" i="6"/>
  <c r="H1406" i="6" s="1"/>
  <c r="J1406" i="6" s="1"/>
  <c r="L1406" i="6" s="1"/>
  <c r="N1406" i="6" s="1"/>
  <c r="H1407" i="6"/>
  <c r="J1407" i="6" s="1"/>
  <c r="L1407" i="6" s="1"/>
  <c r="N1407" i="6" s="1"/>
  <c r="F1420" i="6"/>
  <c r="H1420" i="6" s="1"/>
  <c r="J1420" i="6" s="1"/>
  <c r="L1420" i="6" s="1"/>
  <c r="N1420" i="6" s="1"/>
  <c r="H1421" i="6"/>
  <c r="J1421" i="6" s="1"/>
  <c r="L1421" i="6" s="1"/>
  <c r="N1421" i="6" s="1"/>
  <c r="F1386" i="6"/>
  <c r="H1387" i="6"/>
  <c r="J1387" i="6" s="1"/>
  <c r="L1387" i="6" s="1"/>
  <c r="N1387" i="6" s="1"/>
  <c r="F1429" i="6"/>
  <c r="H1430" i="6"/>
  <c r="J1430" i="6" s="1"/>
  <c r="L1430" i="6" s="1"/>
  <c r="N1430" i="6" s="1"/>
  <c r="F1287" i="6"/>
  <c r="H1287" i="6" s="1"/>
  <c r="J1287" i="6" s="1"/>
  <c r="L1287" i="6" s="1"/>
  <c r="N1287" i="6" s="1"/>
  <c r="H1288" i="6"/>
  <c r="J1288" i="6" s="1"/>
  <c r="L1288" i="6" s="1"/>
  <c r="N1288" i="6" s="1"/>
  <c r="F1232" i="6"/>
  <c r="H1232" i="6" s="1"/>
  <c r="J1232" i="6" s="1"/>
  <c r="L1232" i="6" s="1"/>
  <c r="N1232" i="6" s="1"/>
  <c r="H1238" i="6"/>
  <c r="J1238" i="6" s="1"/>
  <c r="L1238" i="6" s="1"/>
  <c r="N1238" i="6" s="1"/>
  <c r="F1444" i="6"/>
  <c r="H1445" i="6"/>
  <c r="J1445" i="6" s="1"/>
  <c r="L1445" i="6" s="1"/>
  <c r="N1445" i="6" s="1"/>
  <c r="F1423" i="6"/>
  <c r="H1423" i="6" s="1"/>
  <c r="J1423" i="6" s="1"/>
  <c r="L1423" i="6" s="1"/>
  <c r="N1423" i="6" s="1"/>
  <c r="F1404" i="6"/>
  <c r="H1404" i="6" s="1"/>
  <c r="J1404" i="6" s="1"/>
  <c r="L1404" i="6" s="1"/>
  <c r="N1404" i="6" s="1"/>
  <c r="H1405" i="6"/>
  <c r="J1405" i="6" s="1"/>
  <c r="L1405" i="6" s="1"/>
  <c r="N1405" i="6" s="1"/>
  <c r="D51" i="1"/>
  <c r="F51" i="1" s="1"/>
  <c r="H51" i="1" s="1"/>
  <c r="J51" i="1" s="1"/>
  <c r="L51" i="1" s="1"/>
  <c r="F52" i="1"/>
  <c r="H52" i="1" s="1"/>
  <c r="J52" i="1" s="1"/>
  <c r="L52" i="1" s="1"/>
  <c r="F1168" i="6"/>
  <c r="H1168" i="6" s="1"/>
  <c r="J1168" i="6" s="1"/>
  <c r="L1168" i="6" s="1"/>
  <c r="N1168" i="6" s="1"/>
  <c r="H1174" i="6"/>
  <c r="J1174" i="6" s="1"/>
  <c r="L1174" i="6" s="1"/>
  <c r="N1174" i="6" s="1"/>
  <c r="F1461" i="6"/>
  <c r="H1461" i="6" s="1"/>
  <c r="J1461" i="6" s="1"/>
  <c r="L1461" i="6" s="1"/>
  <c r="N1461" i="6" s="1"/>
  <c r="H1462" i="6"/>
  <c r="J1462" i="6" s="1"/>
  <c r="L1462" i="6" s="1"/>
  <c r="N1462" i="6" s="1"/>
  <c r="D25" i="1"/>
  <c r="F25" i="1" s="1"/>
  <c r="H25" i="1" s="1"/>
  <c r="J25" i="1" s="1"/>
  <c r="L25" i="1" s="1"/>
  <c r="D22" i="1"/>
  <c r="F22" i="1" s="1"/>
  <c r="H22" i="1" s="1"/>
  <c r="J22" i="1" s="1"/>
  <c r="L22" i="1" s="1"/>
  <c r="D56" i="1"/>
  <c r="F56" i="1" s="1"/>
  <c r="H56" i="1" s="1"/>
  <c r="J56" i="1" s="1"/>
  <c r="L56" i="1" s="1"/>
  <c r="D38" i="1"/>
  <c r="F38" i="1" s="1"/>
  <c r="H38" i="1" s="1"/>
  <c r="J38" i="1" s="1"/>
  <c r="L38" i="1" s="1"/>
  <c r="F1410" i="6"/>
  <c r="H1410" i="6" s="1"/>
  <c r="J1410" i="6" s="1"/>
  <c r="L1410" i="6" s="1"/>
  <c r="N1410" i="6" s="1"/>
  <c r="D30" i="1"/>
  <c r="F30" i="1" s="1"/>
  <c r="H30" i="1" s="1"/>
  <c r="J30" i="1" s="1"/>
  <c r="L30" i="1" s="1"/>
  <c r="D21" i="1"/>
  <c r="F21" i="1" s="1"/>
  <c r="H21" i="1" s="1"/>
  <c r="J21" i="1" s="1"/>
  <c r="L21" i="1" s="1"/>
  <c r="D63" i="1"/>
  <c r="D59" i="1"/>
  <c r="F59" i="1" s="1"/>
  <c r="H59" i="1" s="1"/>
  <c r="J59" i="1" s="1"/>
  <c r="L59" i="1" s="1"/>
  <c r="F1064" i="6" l="1"/>
  <c r="H1064" i="6" s="1"/>
  <c r="J1064" i="6" s="1"/>
  <c r="L1064" i="6" s="1"/>
  <c r="N1064" i="6" s="1"/>
  <c r="F1422" i="6"/>
  <c r="H1422" i="6" s="1"/>
  <c r="J1422" i="6" s="1"/>
  <c r="L1422" i="6" s="1"/>
  <c r="N1422" i="6" s="1"/>
  <c r="F1403" i="6"/>
  <c r="H1403" i="6" s="1"/>
  <c r="J1403" i="6" s="1"/>
  <c r="L1403" i="6" s="1"/>
  <c r="N1403" i="6" s="1"/>
  <c r="D62" i="1"/>
  <c r="F62" i="1" s="1"/>
  <c r="H62" i="1" s="1"/>
  <c r="J62" i="1" s="1"/>
  <c r="L62" i="1" s="1"/>
  <c r="F63" i="1"/>
  <c r="H63" i="1" s="1"/>
  <c r="J63" i="1" s="1"/>
  <c r="L63" i="1" s="1"/>
  <c r="F1428" i="6"/>
  <c r="H1429" i="6"/>
  <c r="J1429" i="6" s="1"/>
  <c r="L1429" i="6" s="1"/>
  <c r="N1429" i="6" s="1"/>
  <c r="F1437" i="6"/>
  <c r="H1438" i="6"/>
  <c r="J1438" i="6" s="1"/>
  <c r="L1438" i="6" s="1"/>
  <c r="N1438" i="6" s="1"/>
  <c r="F1450" i="6"/>
  <c r="H1451" i="6"/>
  <c r="J1451" i="6" s="1"/>
  <c r="L1451" i="6" s="1"/>
  <c r="N1451" i="6" s="1"/>
  <c r="F1460" i="6"/>
  <c r="F1185" i="6"/>
  <c r="H1185" i="6" s="1"/>
  <c r="J1185" i="6" s="1"/>
  <c r="L1185" i="6" s="1"/>
  <c r="N1185" i="6" s="1"/>
  <c r="F1443" i="6"/>
  <c r="H1444" i="6"/>
  <c r="J1444" i="6" s="1"/>
  <c r="L1444" i="6" s="1"/>
  <c r="N1444" i="6" s="1"/>
  <c r="F1385" i="6"/>
  <c r="H1386" i="6"/>
  <c r="J1386" i="6" s="1"/>
  <c r="L1386" i="6" s="1"/>
  <c r="N1386" i="6" s="1"/>
  <c r="F1417" i="6"/>
  <c r="D46" i="1"/>
  <c r="F46" i="1" s="1"/>
  <c r="H46" i="1" s="1"/>
  <c r="J46" i="1" s="1"/>
  <c r="L46" i="1" s="1"/>
  <c r="D33" i="1"/>
  <c r="F33" i="1" s="1"/>
  <c r="H33" i="1" s="1"/>
  <c r="J33" i="1" s="1"/>
  <c r="L33" i="1" s="1"/>
  <c r="D47" i="1"/>
  <c r="F47" i="1" s="1"/>
  <c r="H47" i="1" s="1"/>
  <c r="J47" i="1" s="1"/>
  <c r="L47" i="1" s="1"/>
  <c r="D61" i="1"/>
  <c r="D42" i="1"/>
  <c r="F42" i="1" s="1"/>
  <c r="H42" i="1" s="1"/>
  <c r="J42" i="1" s="1"/>
  <c r="L42" i="1" s="1"/>
  <c r="D40" i="1"/>
  <c r="D24" i="1"/>
  <c r="F24" i="1" s="1"/>
  <c r="H24" i="1" s="1"/>
  <c r="J24" i="1" s="1"/>
  <c r="L24" i="1" s="1"/>
  <c r="D34" i="1"/>
  <c r="F34" i="1" s="1"/>
  <c r="H34" i="1" s="1"/>
  <c r="J34" i="1" s="1"/>
  <c r="L34" i="1" s="1"/>
  <c r="D28" i="1"/>
  <c r="D57" i="1"/>
  <c r="F57" i="1" s="1"/>
  <c r="H57" i="1" s="1"/>
  <c r="J57" i="1" s="1"/>
  <c r="L57" i="1" s="1"/>
  <c r="D55" i="1"/>
  <c r="F55" i="1" s="1"/>
  <c r="H55" i="1" s="1"/>
  <c r="J55" i="1" s="1"/>
  <c r="L55" i="1" s="1"/>
  <c r="F1402" i="6" l="1"/>
  <c r="H1402" i="6" s="1"/>
  <c r="J1402" i="6" s="1"/>
  <c r="L1402" i="6" s="1"/>
  <c r="N1402" i="6" s="1"/>
  <c r="D27" i="1"/>
  <c r="F27" i="1" s="1"/>
  <c r="H27" i="1" s="1"/>
  <c r="J27" i="1" s="1"/>
  <c r="L27" i="1" s="1"/>
  <c r="F28" i="1"/>
  <c r="H28" i="1" s="1"/>
  <c r="J28" i="1" s="1"/>
  <c r="L28" i="1" s="1"/>
  <c r="D39" i="1"/>
  <c r="F39" i="1" s="1"/>
  <c r="H39" i="1" s="1"/>
  <c r="J39" i="1" s="1"/>
  <c r="L39" i="1" s="1"/>
  <c r="F40" i="1"/>
  <c r="H40" i="1" s="1"/>
  <c r="J40" i="1" s="1"/>
  <c r="L40" i="1" s="1"/>
  <c r="H1385" i="6"/>
  <c r="J1385" i="6" s="1"/>
  <c r="L1385" i="6" s="1"/>
  <c r="N1385" i="6" s="1"/>
  <c r="F1384" i="6"/>
  <c r="F1453" i="6"/>
  <c r="H1460" i="6"/>
  <c r="J1460" i="6" s="1"/>
  <c r="L1460" i="6" s="1"/>
  <c r="N1460" i="6" s="1"/>
  <c r="F1436" i="6"/>
  <c r="H1436" i="6" s="1"/>
  <c r="J1436" i="6" s="1"/>
  <c r="L1436" i="6" s="1"/>
  <c r="N1436" i="6" s="1"/>
  <c r="H1437" i="6"/>
  <c r="J1437" i="6" s="1"/>
  <c r="L1437" i="6" s="1"/>
  <c r="N1437" i="6" s="1"/>
  <c r="D58" i="1"/>
  <c r="F58" i="1" s="1"/>
  <c r="H58" i="1" s="1"/>
  <c r="J58" i="1" s="1"/>
  <c r="L58" i="1" s="1"/>
  <c r="F61" i="1"/>
  <c r="H61" i="1" s="1"/>
  <c r="J61" i="1" s="1"/>
  <c r="L61" i="1" s="1"/>
  <c r="F1416" i="6"/>
  <c r="H1417" i="6"/>
  <c r="J1417" i="6" s="1"/>
  <c r="L1417" i="6" s="1"/>
  <c r="N1417" i="6" s="1"/>
  <c r="F1442" i="6"/>
  <c r="H1443" i="6"/>
  <c r="J1443" i="6" s="1"/>
  <c r="L1443" i="6" s="1"/>
  <c r="N1443" i="6" s="1"/>
  <c r="F1449" i="6"/>
  <c r="H1450" i="6"/>
  <c r="J1450" i="6" s="1"/>
  <c r="L1450" i="6" s="1"/>
  <c r="N1450" i="6" s="1"/>
  <c r="F1427" i="6"/>
  <c r="H1428" i="6"/>
  <c r="J1428" i="6" s="1"/>
  <c r="L1428" i="6" s="1"/>
  <c r="N1428" i="6" s="1"/>
  <c r="D49" i="1"/>
  <c r="F49" i="1" s="1"/>
  <c r="H49" i="1" s="1"/>
  <c r="J49" i="1" s="1"/>
  <c r="L49" i="1" s="1"/>
  <c r="D43" i="1"/>
  <c r="F43" i="1" s="1"/>
  <c r="H43" i="1" s="1"/>
  <c r="J43" i="1" s="1"/>
  <c r="L43" i="1" s="1"/>
  <c r="D50" i="1"/>
  <c r="F50" i="1" s="1"/>
  <c r="H50" i="1" s="1"/>
  <c r="J50" i="1" s="1"/>
  <c r="L50" i="1" s="1"/>
  <c r="D53" i="1"/>
  <c r="F53" i="1" s="1"/>
  <c r="H53" i="1" s="1"/>
  <c r="J53" i="1" s="1"/>
  <c r="L53" i="1" s="1"/>
  <c r="D44" i="1"/>
  <c r="F44" i="1" s="1"/>
  <c r="H44" i="1" s="1"/>
  <c r="J44" i="1" s="1"/>
  <c r="L44" i="1" s="1"/>
  <c r="D36" i="1"/>
  <c r="F36" i="1" s="1"/>
  <c r="H36" i="1" s="1"/>
  <c r="J36" i="1" s="1"/>
  <c r="L36" i="1" s="1"/>
  <c r="F1401" i="6" l="1"/>
  <c r="F1400" i="6" s="1"/>
  <c r="F1399" i="6" s="1"/>
  <c r="H1399" i="6" s="1"/>
  <c r="J1399" i="6" s="1"/>
  <c r="L1399" i="6" s="1"/>
  <c r="N1399" i="6" s="1"/>
  <c r="F1448" i="6"/>
  <c r="H1448" i="6" s="1"/>
  <c r="J1448" i="6" s="1"/>
  <c r="L1448" i="6" s="1"/>
  <c r="N1448" i="6" s="1"/>
  <c r="H1449" i="6"/>
  <c r="J1449" i="6" s="1"/>
  <c r="L1449" i="6" s="1"/>
  <c r="N1449" i="6" s="1"/>
  <c r="F1415" i="6"/>
  <c r="H1416" i="6"/>
  <c r="J1416" i="6" s="1"/>
  <c r="L1416" i="6" s="1"/>
  <c r="N1416" i="6" s="1"/>
  <c r="F1350" i="6"/>
  <c r="H1384" i="6"/>
  <c r="J1384" i="6" s="1"/>
  <c r="L1384" i="6" s="1"/>
  <c r="N1384" i="6" s="1"/>
  <c r="H1427" i="6"/>
  <c r="J1427" i="6" s="1"/>
  <c r="L1427" i="6" s="1"/>
  <c r="N1427" i="6" s="1"/>
  <c r="F1426" i="6"/>
  <c r="H1426" i="6" s="1"/>
  <c r="J1426" i="6" s="1"/>
  <c r="L1426" i="6" s="1"/>
  <c r="N1426" i="6" s="1"/>
  <c r="F1441" i="6"/>
  <c r="H1441" i="6" s="1"/>
  <c r="J1441" i="6" s="1"/>
  <c r="L1441" i="6" s="1"/>
  <c r="N1441" i="6" s="1"/>
  <c r="H1442" i="6"/>
  <c r="J1442" i="6" s="1"/>
  <c r="L1442" i="6" s="1"/>
  <c r="N1442" i="6" s="1"/>
  <c r="H1453" i="6"/>
  <c r="J1453" i="6" s="1"/>
  <c r="L1453" i="6" s="1"/>
  <c r="N1453" i="6" s="1"/>
  <c r="D48" i="1"/>
  <c r="F48" i="1" s="1"/>
  <c r="H48" i="1" s="1"/>
  <c r="J48" i="1" s="1"/>
  <c r="L48" i="1" s="1"/>
  <c r="D41" i="1"/>
  <c r="F41" i="1" s="1"/>
  <c r="H41" i="1" s="1"/>
  <c r="J41" i="1" s="1"/>
  <c r="L41" i="1" s="1"/>
  <c r="D32" i="1"/>
  <c r="H1400" i="6" l="1"/>
  <c r="J1400" i="6" s="1"/>
  <c r="L1400" i="6" s="1"/>
  <c r="N1400" i="6" s="1"/>
  <c r="H1401" i="6"/>
  <c r="J1401" i="6" s="1"/>
  <c r="L1401" i="6" s="1"/>
  <c r="N1401" i="6" s="1"/>
  <c r="F1447" i="6"/>
  <c r="H1447" i="6" s="1"/>
  <c r="J1447" i="6" s="1"/>
  <c r="L1447" i="6" s="1"/>
  <c r="N1447" i="6" s="1"/>
  <c r="F1414" i="6"/>
  <c r="H1414" i="6" s="1"/>
  <c r="J1414" i="6" s="1"/>
  <c r="L1414" i="6" s="1"/>
  <c r="N1414" i="6" s="1"/>
  <c r="H1415" i="6"/>
  <c r="J1415" i="6" s="1"/>
  <c r="L1415" i="6" s="1"/>
  <c r="N1415" i="6" s="1"/>
  <c r="D29" i="1"/>
  <c r="F29" i="1" s="1"/>
  <c r="H29" i="1" s="1"/>
  <c r="J29" i="1" s="1"/>
  <c r="L29" i="1" s="1"/>
  <c r="F32" i="1"/>
  <c r="H32" i="1" s="1"/>
  <c r="J32" i="1" s="1"/>
  <c r="L32" i="1" s="1"/>
  <c r="F1343" i="6"/>
  <c r="H1350" i="6"/>
  <c r="J1350" i="6" s="1"/>
  <c r="L1350" i="6" s="1"/>
  <c r="N1350" i="6" s="1"/>
  <c r="D26" i="1"/>
  <c r="A1462" i="6"/>
  <c r="A1449" i="6"/>
  <c r="A1409" i="6"/>
  <c r="A1412" i="6"/>
  <c r="A1388" i="6"/>
  <c r="A1456" i="6"/>
  <c r="A1460" i="6"/>
  <c r="A1406" i="6"/>
  <c r="A1432" i="6"/>
  <c r="A1451" i="6"/>
  <c r="A1419" i="6"/>
  <c r="A1443" i="6"/>
  <c r="A1428" i="6"/>
  <c r="A1431" i="6"/>
  <c r="A1446" i="6"/>
  <c r="A1404" i="6"/>
  <c r="A1440" i="6"/>
  <c r="A1458" i="6"/>
  <c r="A1410" i="6"/>
  <c r="A1430" i="6"/>
  <c r="A1463" i="6"/>
  <c r="A1425" i="6"/>
  <c r="A1407" i="6"/>
  <c r="A1445" i="6"/>
  <c r="A1416" i="6"/>
  <c r="A1459" i="6"/>
  <c r="A1405" i="6"/>
  <c r="A1457" i="6"/>
  <c r="A1434" i="6"/>
  <c r="A1454" i="6"/>
  <c r="A1420" i="6"/>
  <c r="A1408" i="6"/>
  <c r="A1435" i="6"/>
  <c r="A1452" i="6"/>
  <c r="A1439" i="6"/>
  <c r="A1437" i="6"/>
  <c r="A1418" i="6"/>
  <c r="A1422" i="6"/>
  <c r="A1424" i="6"/>
  <c r="A1402" i="6"/>
  <c r="A1413" i="6"/>
  <c r="A1421" i="6"/>
  <c r="D19" i="1" l="1"/>
  <c r="F19" i="1" s="1"/>
  <c r="H19" i="1" s="1"/>
  <c r="J19" i="1" s="1"/>
  <c r="L19" i="1" s="1"/>
  <c r="F26" i="1"/>
  <c r="H26" i="1" s="1"/>
  <c r="J26" i="1" s="1"/>
  <c r="L26" i="1" s="1"/>
  <c r="H1343" i="6"/>
  <c r="J1343" i="6" s="1"/>
  <c r="L1343" i="6" s="1"/>
  <c r="N1343" i="6" s="1"/>
  <c r="F1342" i="6"/>
  <c r="D37" i="1"/>
  <c r="D35" i="1" l="1"/>
  <c r="F35" i="1" s="1"/>
  <c r="H35" i="1" s="1"/>
  <c r="J35" i="1" s="1"/>
  <c r="L35" i="1" s="1"/>
  <c r="F37" i="1"/>
  <c r="H37" i="1" s="1"/>
  <c r="J37" i="1" s="1"/>
  <c r="L37" i="1" s="1"/>
  <c r="H1342" i="6"/>
  <c r="J1342" i="6" s="1"/>
  <c r="L1342" i="6" s="1"/>
  <c r="N1342" i="6" s="1"/>
  <c r="F1464" i="6"/>
  <c r="D66" i="1" l="1"/>
  <c r="F66" i="1" s="1"/>
  <c r="H66" i="1" s="1"/>
  <c r="J66" i="1" s="1"/>
  <c r="L66" i="1" s="1"/>
  <c r="F1466" i="6"/>
  <c r="H1466" i="6" s="1"/>
  <c r="H1464" i="6"/>
  <c r="J1464" i="6" s="1"/>
  <c r="L1464" i="6" s="1"/>
  <c r="N1464" i="6" s="1"/>
  <c r="A1399" i="6"/>
  <c r="A1441" i="6"/>
  <c r="A1453" i="6"/>
  <c r="A1427" i="6"/>
  <c r="A1400" i="6"/>
  <c r="A1447" i="6"/>
  <c r="A1436" i="6"/>
  <c r="A1401" i="6"/>
  <c r="A1415" i="6"/>
  <c r="A1414" i="6"/>
  <c r="A1448" i="6"/>
  <c r="A1426" i="6"/>
  <c r="A1442" i="6"/>
  <c r="J1466" i="6" l="1"/>
  <c r="L1466" i="6" s="1"/>
  <c r="D68" i="1"/>
  <c r="F68" i="1" s="1"/>
  <c r="H68" i="1" s="1"/>
  <c r="J68" i="1" s="1"/>
  <c r="L68" i="1" s="1"/>
  <c r="F1468" i="6"/>
  <c r="N1466" i="6" l="1"/>
  <c r="N1468" i="6" s="1"/>
  <c r="J1468" i="6"/>
  <c r="L70" i="1" l="1"/>
</calcChain>
</file>

<file path=xl/sharedStrings.xml><?xml version="1.0" encoding="utf-8"?>
<sst xmlns="http://schemas.openxmlformats.org/spreadsheetml/2006/main" count="8474" uniqueCount="740">
  <si>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</si>
  <si>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</si>
  <si>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</si>
  <si>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</si>
  <si>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</si>
  <si>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</si>
  <si>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</si>
  <si>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</si>
  <si>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</si>
  <si>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</si>
  <si>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</si>
  <si>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</si>
  <si>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</si>
  <si>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</si>
  <si>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</si>
  <si>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</si>
  <si>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</si>
  <si>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</si>
  <si>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</si>
  <si>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</si>
  <si>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Ремонт и обслуживание электрооборудования зданий</t>
  </si>
  <si>
    <t>Ремонт и испытание наружных пожарных лестниц</t>
  </si>
  <si>
    <t>Снижение рисков и смягчение последствий чрезвычайных ситуаций природного и техногенного характера в городе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</si>
  <si>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</si>
  <si>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</si>
  <si>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</si>
  <si>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</si>
  <si>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</si>
  <si>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</si>
  <si>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</si>
  <si>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</si>
  <si>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</si>
  <si>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Охрана окружающей среды</t>
  </si>
  <si>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</si>
  <si>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</si>
  <si>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</si>
  <si>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</si>
  <si>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</si>
  <si>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</si>
  <si>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</si>
  <si>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</si>
  <si>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</si>
  <si>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</si>
  <si>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</si>
  <si>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Социальное обеспечение населения</t>
  </si>
  <si>
    <t>Дорожное хозяйство (дорожные фонды)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</si>
  <si>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</si>
  <si>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</si>
  <si>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</si>
  <si>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</si>
  <si>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</si>
  <si>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</si>
  <si>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</si>
  <si>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</si>
  <si>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</si>
  <si>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</si>
  <si>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</si>
  <si>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</si>
  <si>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</si>
  <si>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ОБСЛУЖИВАНИЕ ГОСУДАРСТВЕННОГО И МУНИЦИПАЛЬНОГО ДОЛГА</t>
  </si>
  <si>
    <t>07</t>
  </si>
  <si>
    <t>12</t>
  </si>
  <si>
    <t>Периодическая печать и издательства</t>
  </si>
  <si>
    <t>Резервные фонды</t>
  </si>
  <si>
    <t>ТЕРРИТОРИАЛЬНАЯ ИЗБИРАТЕЛЬНАЯ КОМИССИЯ ГОРОДА ЧЕРЕПОВЦА</t>
  </si>
  <si>
    <t>Общеэкономические вопросы</t>
  </si>
  <si>
    <t>Охрана семьи и детства</t>
  </si>
  <si>
    <t>Процентные платежи по муниципальному долгу</t>
  </si>
  <si>
    <t>Наименование</t>
  </si>
  <si>
    <t>ОБЩЕГОСУДАРСТВЕННЫЕ  ВОПРОСЫ</t>
  </si>
  <si>
    <t>01</t>
  </si>
  <si>
    <t>02</t>
  </si>
  <si>
    <t>03</t>
  </si>
  <si>
    <t>04</t>
  </si>
  <si>
    <t>06</t>
  </si>
  <si>
    <t>Средства массовой информации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</si>
  <si>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</si>
  <si>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</si>
  <si>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</si>
  <si>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</si>
  <si>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</si>
  <si>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</si>
  <si>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</si>
  <si>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</si>
  <si>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ПР</t>
  </si>
  <si>
    <t>ЦСР</t>
  </si>
  <si>
    <t>ВР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</si>
  <si>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</si>
  <si>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</si>
  <si>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</si>
  <si>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</si>
  <si>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</si>
  <si>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</si>
  <si>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</si>
  <si>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</si>
  <si>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</si>
  <si>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</si>
  <si>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</si>
  <si>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</si>
  <si>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</si>
  <si>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</si>
  <si>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</si>
  <si>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</si>
  <si>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Другие вопросы в области образования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</si>
  <si>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</si>
  <si>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</si>
  <si>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</si>
  <si>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</si>
  <si>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городской Думы</t>
  </si>
  <si>
    <t>Дошкольное образование</t>
  </si>
  <si>
    <t xml:space="preserve">Обслуживание государственного внутреннего и муниципального долга </t>
  </si>
  <si>
    <t>Защита населения и территории от чрезвычайных ситуаций природного и техногенного характера, гражданская оборона</t>
  </si>
  <si>
    <t>Здравоохранение</t>
  </si>
  <si>
    <t>Санитарно-эпидемиологическое благополучие</t>
  </si>
  <si>
    <t>ЗДРАВООХРАНЕНИЕ</t>
  </si>
  <si>
    <t xml:space="preserve">к решению Череповецкой </t>
  </si>
  <si>
    <t>тыс. рублей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</si>
  <si>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</si>
  <si>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</si>
  <si>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</si>
  <si>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</si>
  <si>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</si>
  <si>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</si>
  <si>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</si>
  <si>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</si>
  <si>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Стипендии</t>
  </si>
  <si>
    <t>Премии и гранты</t>
  </si>
  <si>
    <t>Обслуживание муниципального долга</t>
  </si>
  <si>
    <t>Расходы на выплаты персоналу казенных учреждений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</si>
  <si>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</si>
  <si>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</si>
  <si>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</si>
  <si>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</si>
  <si>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</si>
  <si>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</si>
  <si>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</si>
  <si>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</si>
  <si>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</si>
  <si>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</si>
  <si>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</si>
  <si>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</si>
  <si>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</si>
  <si>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</si>
  <si>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</si>
  <si>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</si>
  <si>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</si>
  <si>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Транспорт</t>
  </si>
  <si>
    <t>Резервные средства</t>
  </si>
  <si>
    <t>Обслуживание государственного (муниципального) долга</t>
  </si>
  <si>
    <t>Предоставление платежей, взносов, безвозмездных перечислений субъектам международного права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</si>
  <si>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</si>
  <si>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</si>
  <si>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</si>
  <si>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</si>
  <si>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</si>
  <si>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</si>
  <si>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</si>
  <si>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</si>
  <si>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</si>
  <si>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</si>
  <si>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</si>
  <si>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 xml:space="preserve">КОНТРОЛЬНО-СЧЕТНАЯ ПАЛАТА ГОРОДА ЧЕРЕПОВЦА 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</si>
  <si>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</si>
  <si>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</si>
  <si>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</si>
  <si>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</si>
  <si>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</si>
  <si>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</si>
  <si>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</si>
  <si>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</si>
  <si>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</si>
  <si>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</si>
  <si>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</si>
  <si>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</si>
  <si>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</si>
  <si>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</si>
  <si>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</si>
  <si>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Организационно-методическое обеспечение программы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</si>
  <si>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</si>
  <si>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Публичные нормативные выплаты гражданам несоциального характера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</si>
  <si>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</si>
  <si>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</si>
  <si>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Культура</t>
  </si>
  <si>
    <t>Индустриальный парк «Череповец». Инженерная и транспортная инфраструктура территории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</si>
  <si>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</si>
  <si>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</si>
  <si>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</si>
  <si>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</si>
  <si>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</si>
  <si>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</si>
  <si>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</si>
  <si>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</si>
  <si>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</si>
  <si>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</si>
  <si>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</si>
  <si>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</si>
  <si>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</si>
  <si>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</si>
  <si>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</si>
  <si>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</si>
  <si>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</si>
  <si>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01 1 02 00000</t>
  </si>
  <si>
    <t>01 1 04 00000</t>
  </si>
  <si>
    <t>01 1 04 72020</t>
  </si>
  <si>
    <t>01 2 00 00000</t>
  </si>
  <si>
    <t>01 2 01 00000</t>
  </si>
  <si>
    <t>01 2 01 00130</t>
  </si>
  <si>
    <t>01 2 01 72010</t>
  </si>
  <si>
    <t>01 2 03 00000</t>
  </si>
  <si>
    <t>01 2 07 00000</t>
  </si>
  <si>
    <t>01 2 07 72020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</si>
  <si>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</si>
  <si>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</si>
  <si>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</si>
  <si>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</si>
  <si>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</si>
  <si>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</si>
  <si>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</si>
  <si>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</si>
  <si>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</si>
  <si>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</si>
  <si>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</si>
  <si>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</si>
  <si>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</si>
  <si>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01 4 02 90210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</si>
  <si>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</si>
  <si>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</si>
  <si>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</si>
  <si>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</si>
  <si>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</si>
  <si>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01 4 03 90310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</si>
  <si>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</si>
  <si>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</si>
  <si>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</si>
  <si>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</si>
  <si>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</si>
  <si>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</si>
  <si>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</si>
  <si>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</si>
  <si>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</si>
  <si>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</si>
  <si>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</si>
  <si>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</si>
  <si>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</si>
  <si>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</si>
  <si>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</si>
  <si>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</si>
  <si>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</si>
  <si>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</si>
  <si>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</si>
  <si>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</si>
  <si>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</si>
  <si>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</si>
  <si>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</si>
  <si>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</si>
  <si>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</si>
  <si>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</si>
  <si>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</si>
  <si>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</si>
  <si>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</si>
  <si>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</si>
  <si>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</si>
  <si>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</si>
  <si>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</si>
  <si>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</si>
  <si>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</si>
  <si>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</si>
  <si>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</si>
  <si>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</si>
  <si>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</si>
  <si>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</si>
  <si>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</si>
  <si>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</si>
  <si>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03 0 03 00000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</si>
  <si>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</si>
  <si>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</si>
  <si>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</si>
  <si>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</si>
  <si>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</si>
  <si>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03 0 10 00000</t>
  </si>
  <si>
    <t>Развитие волейбола</t>
  </si>
  <si>
    <t>04 0 00 00000</t>
  </si>
  <si>
    <t>04 0 02 00000</t>
  </si>
  <si>
    <t>04 0 02 00140</t>
  </si>
  <si>
    <t>04 0 02 72190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</si>
  <si>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</si>
  <si>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</si>
  <si>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</si>
  <si>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</si>
  <si>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06 0 00 00000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</si>
  <si>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</si>
  <si>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</si>
  <si>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</si>
  <si>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07 0 01 00000</t>
  </si>
  <si>
    <t>Формирование инфраструктуры поддержки малого и среднего предпринимательства</t>
  </si>
  <si>
    <t>08 0 00 00000</t>
  </si>
  <si>
    <t>08 0 01 00000</t>
  </si>
  <si>
    <t>08 0 02 00000</t>
  </si>
  <si>
    <t>08 0 03 00000</t>
  </si>
  <si>
    <t>09 0 00 00000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</si>
  <si>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</si>
  <si>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</si>
  <si>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</si>
  <si>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</si>
  <si>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</si>
  <si>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</si>
  <si>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</si>
  <si>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</si>
  <si>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</si>
  <si>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</si>
  <si>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</si>
  <si>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</si>
  <si>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13 0 01 00000</t>
  </si>
  <si>
    <t>13 0 03 00000</t>
  </si>
  <si>
    <t>13 0 03 90300</t>
  </si>
  <si>
    <t>13 0 03 90310</t>
  </si>
  <si>
    <t>13 0 04 00000</t>
  </si>
  <si>
    <t>13 0 04 90400</t>
  </si>
  <si>
    <t>13 0 04 90410</t>
  </si>
  <si>
    <t>13 0 05 00000</t>
  </si>
  <si>
    <t>13 0 05 90500</t>
  </si>
  <si>
    <t>13 0 05 90510</t>
  </si>
  <si>
    <t>13 0 06 00000</t>
  </si>
  <si>
    <t>13 0 06 90600</t>
  </si>
  <si>
    <t>13 0 06 90610</t>
  </si>
  <si>
    <t>13 0 07 00000</t>
  </si>
  <si>
    <t>13 0 08 00000</t>
  </si>
  <si>
    <t>14 0 00 00000</t>
  </si>
  <si>
    <t>Муниципальная программа «Обеспечение жильем отдельных категорий граждан» на 2014 – 2020 годы</t>
  </si>
  <si>
    <t>14 1 00 00000</t>
  </si>
  <si>
    <t>14 1 01 00000</t>
  </si>
  <si>
    <t>14 1 01 L0200</t>
  </si>
  <si>
    <t>14 2 00 00000</t>
  </si>
  <si>
    <t>14 2 01 00000</t>
  </si>
  <si>
    <t>15 0 00 00000</t>
  </si>
  <si>
    <t>15 2 00 00000</t>
  </si>
  <si>
    <t>15 2 01 00000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</si>
  <si>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</si>
  <si>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</si>
  <si>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</si>
  <si>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</si>
  <si>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</si>
  <si>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</si>
  <si>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</si>
  <si>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</si>
  <si>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</si>
  <si>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S1350</t>
  </si>
  <si>
    <t>18 1 03 00000</t>
  </si>
  <si>
    <t>18 1 05 00000</t>
  </si>
  <si>
    <t>18 1 05 72230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</si>
  <si>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</si>
  <si>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</si>
  <si>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</si>
  <si>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</si>
  <si>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</si>
  <si>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</si>
  <si>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</si>
  <si>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19 0 01 00000</t>
  </si>
  <si>
    <t>19 0 02 00000</t>
  </si>
  <si>
    <t>19 0 03 00000</t>
  </si>
  <si>
    <t>19 0 04 00000</t>
  </si>
  <si>
    <t>19 0 04 00120</t>
  </si>
  <si>
    <t>20 0 00 00000</t>
  </si>
  <si>
    <t>20 0 01 00000</t>
  </si>
  <si>
    <t>20 0 01 01000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</si>
  <si>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</si>
  <si>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</si>
  <si>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</si>
  <si>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</si>
  <si>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</si>
  <si>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21 1 00 00000</t>
  </si>
  <si>
    <t>21 1 01 00000</t>
  </si>
  <si>
    <t>21 1 03 00000</t>
  </si>
  <si>
    <t>Ремонт и оборудование эвакуационных путей зданий</t>
  </si>
  <si>
    <t>21 1 04 00000</t>
  </si>
  <si>
    <t>21 1 05 00000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</si>
  <si>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</si>
  <si>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</si>
  <si>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21 2 00 00000</t>
  </si>
  <si>
    <t>21 2 01 00000</t>
  </si>
  <si>
    <t>21 2 03 00000</t>
  </si>
  <si>
    <t>22 0 00 00000</t>
  </si>
  <si>
    <t>22 1 00 00000</t>
  </si>
  <si>
    <t>22 1 01 00000</t>
  </si>
  <si>
    <t>22 1 02 00000</t>
  </si>
  <si>
    <t>22 2 00 00000</t>
  </si>
  <si>
    <t>22 2 02 00000</t>
  </si>
  <si>
    <t>22 4 00 00000</t>
  </si>
  <si>
    <t>22 4 01 00000</t>
  </si>
  <si>
    <t>23 0 00 00000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</si>
  <si>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</si>
  <si>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</si>
  <si>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</si>
  <si>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</si>
  <si>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</si>
  <si>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</si>
  <si>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</si>
  <si>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</si>
  <si>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</si>
  <si>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</si>
  <si>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</si>
  <si>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</si>
  <si>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</si>
  <si>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</si>
  <si>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</si>
  <si>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</si>
  <si>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</si>
  <si>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</si>
  <si>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</si>
  <si>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</si>
  <si>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</si>
  <si>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</si>
  <si>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</si>
  <si>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</si>
  <si>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</si>
  <si>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</si>
  <si>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</si>
  <si>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</si>
  <si>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</si>
  <si>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</si>
  <si>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</si>
  <si>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</si>
  <si>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</si>
  <si>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</si>
  <si>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</si>
  <si>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</si>
  <si>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01 1 01 72010</t>
  </si>
  <si>
    <t>91 2 00 72210</t>
  </si>
  <si>
    <t>91 2 00 72140</t>
  </si>
  <si>
    <t>91 2 00 72200</t>
  </si>
  <si>
    <t>Муниципальная программа «Развитие образования» на 2013 – 2022 годы</t>
  </si>
  <si>
    <t>Обеспечение питанием обучающихся в МОУ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</si>
  <si>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</si>
  <si>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</si>
  <si>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</si>
  <si>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t>
  </si>
  <si>
    <t>01 2 10 00000</t>
  </si>
  <si>
    <t>Организация проведения общественно-значимых мероприятий в сфере образования, науки и молодежной политики</t>
  </si>
  <si>
    <t>01 3 04 00000</t>
  </si>
  <si>
    <t>01 6 01 00000</t>
  </si>
  <si>
    <t>Текущие ремонты и работы по благоустройству территорий</t>
  </si>
  <si>
    <t>01 6 02 00000</t>
  </si>
  <si>
    <t>02 2 05 00000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</si>
  <si>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</si>
  <si>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</si>
  <si>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 xml:space="preserve">Продвижение городского туристического продукта на российском рынке </t>
  </si>
  <si>
    <t>Организация работ по реализации целей, задач комитета охраны окружающей среды мэрии, выполнение его функциональных обязанностей и реализации муниципальной программы</t>
  </si>
  <si>
    <t>Организация временного трудоустройства несовершеннолетних в возрасте от 14 до 18 лет в свободное от учебы время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</si>
  <si>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</si>
  <si>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Оснащение индивидуальными приборами учета коммунальных ресурсов жилых помещений в многоквартирных домах</t>
  </si>
  <si>
    <t>17 0 01 00000</t>
  </si>
  <si>
    <t>Обеспечение подготовки градостроительной документации и нормативно-правовых актов</t>
  </si>
  <si>
    <t>18 2 04 00000</t>
  </si>
  <si>
    <t>Муниципальная программа «Развитие земельно-имущественного комплекса города Череповца» на 2014 – 2022 годы</t>
  </si>
  <si>
    <t>21 0 01 00000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</si>
  <si>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t>
  </si>
  <si>
    <t>21 0 02 00000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</si>
  <si>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t>
  </si>
  <si>
    <t>Оснащение аварийно-спасательных подразделений МБУ «СпаС» современными аварийно-спасательными средствами и инструментом</t>
  </si>
  <si>
    <t>21 3 00 00000</t>
  </si>
  <si>
    <t>Построение и развитие аппаратно-программного комплекса «Безопасный город» на территории города Череповца</t>
  </si>
  <si>
    <t>21 3 01 00000</t>
  </si>
  <si>
    <t>21 3 02 00000</t>
  </si>
  <si>
    <t>21 3 02 S1060</t>
  </si>
  <si>
    <t>Молодежная политика</t>
  </si>
  <si>
    <t>Дополнительное образование детей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</si>
  <si>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</si>
  <si>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</si>
  <si>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11 0 02 72060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</si>
  <si>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</si>
  <si>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</si>
  <si>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</si>
  <si>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14 0 01 51340</t>
  </si>
  <si>
    <t>14 0 01 51350</t>
  </si>
  <si>
    <t>Предоставление финансовой поддержки в виде субсидий на капитальный ремонт жилищного фонда (включая установку элементов благоустройства)</t>
  </si>
  <si>
    <t>18 1 04 71350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</si>
  <si>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</si>
  <si>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21 3 02 71060</t>
  </si>
  <si>
    <t>11 0 02 00150</t>
  </si>
  <si>
    <t>20 0 01 S3230</t>
  </si>
  <si>
    <t>20 0 01 73230</t>
  </si>
  <si>
    <t>07 0 03 00000</t>
  </si>
  <si>
    <t>Финансовая поддержка субъектов малого и среднего предпринимательства</t>
  </si>
  <si>
    <t>07 0 03 R064A</t>
  </si>
  <si>
    <t>13 0 02 00000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</si>
  <si>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</si>
  <si>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13 0 02 71030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</si>
  <si>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</si>
  <si>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</si>
  <si>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Условно утверждаемые расходы</t>
  </si>
  <si>
    <t>ИТОГО РАСХОДОВ</t>
  </si>
  <si>
    <t>Приложение 13</t>
  </si>
  <si>
    <t>Приложение 15</t>
  </si>
  <si>
    <t>Распределение бюджетных ассигнований</t>
  </si>
  <si>
    <t xml:space="preserve">Распределение бюджетных ассигнований                                                                                                                                                                                                                         </t>
  </si>
  <si>
    <t>01 3 07 00000</t>
  </si>
  <si>
    <t>13 0 02 S1030</t>
  </si>
  <si>
    <t>Специальные расходы</t>
  </si>
  <si>
    <t>07 0 03 L064A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</si>
  <si>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– образовательные программы дошкольного образования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</si>
  <si>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домах)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</si>
  <si>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</si>
  <si>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20 0 02 S1350</t>
  </si>
  <si>
    <t>20 0 02 71350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</si>
  <si>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– образовательные программы дошкольного образования, за счет средств областного бюджета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</si>
  <si>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реорганизации, в соответствии с решением Череповецкой городской Думы от 29.05.2012 № 97</t>
  </si>
  <si>
    <t xml:space="preserve">Укрепление материально-технической базы учреждений дополнительного образования сферы искусства </t>
  </si>
  <si>
    <t>Поддержка и развитие малого и среднего предпринимательства муниципального образования, вошедшего в список моногородов, за счет средств областного бюджета</t>
  </si>
  <si>
    <t>Поддержка и развитие малого и среднего предпринимательства муниципального образования, вошедшего в список моногородов, в рамках софинансирования с вышестоящим бюджетом</t>
  </si>
  <si>
    <t>Выплата вознаграждений лицам, имеющим знак «За особые заслуги перед городом Череповцом», за счет средств городского бюджета</t>
  </si>
  <si>
    <t>Выплата вознаграждений лицам, имеющим знак «За особые заслуги перед городом Череповцом», в соответствии с постановлением Череповецкой городской Думы от 27.09.2005  № 88</t>
  </si>
  <si>
    <t>Выплата вознаграждений лицам, имеющим звание «Почетный гражданин города Череповца», за счет средств городского бюджета</t>
  </si>
  <si>
    <t>Выплата вознаграждений лицам, имеющим звание «Почетный гражданин города Череповца», в соответствии с постановлением Череповецкой городской Думы от 27.09.2005 № 87</t>
  </si>
  <si>
    <t>Осуществление полномочий по обеспечению жильем отдельных категорий граждан, установленных Федеральным законом от   12 января 1995 года № 5-ФЗ «О ветеранах», в соответствии с Указом Президента Российской Федерации от 7 мая 2008 года  № 714 «Об обеспечении жильем ветеранов Великой Отечественной войны 1941 – 1945 годов», за счет средств федерального бюджета</t>
  </si>
  <si>
    <t>Исполнение муниципальных гарантий в случае, если исполнение гарантом муниципальных гарантий не ведет к возникновению права регрессного требования к принципалу</t>
  </si>
  <si>
    <t>16 0 00 00000</t>
  </si>
  <si>
    <t>24 1 02 00000</t>
  </si>
  <si>
    <t>01 6 03 00000</t>
  </si>
  <si>
    <t xml:space="preserve">01 </t>
  </si>
  <si>
    <t>Участие в профилактике терроризма и экстремизма</t>
  </si>
  <si>
    <t xml:space="preserve">02 1 05 00000         </t>
  </si>
  <si>
    <t>Развитие музейного дела</t>
  </si>
  <si>
    <t>16 0 01 00000</t>
  </si>
  <si>
    <t>Приобретение автобусов в муниципальную собственность</t>
  </si>
  <si>
    <t>Муниципальная программа «Развитие городского общественного транспорта» на 2014 – 2022 годы</t>
  </si>
  <si>
    <t>91 2 00 51200</t>
  </si>
  <si>
    <t>Судебная система</t>
  </si>
  <si>
    <t>18 1 07 71360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</si>
  <si>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граждан, за счет средств областного бюджета</t>
  </si>
  <si>
    <t>18 1 07 00000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</si>
  <si>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</si>
  <si>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>14 1 01 R0200</t>
  </si>
  <si>
    <t>Профессиональная подготовка, переподготовка и повышение квалификации</t>
  </si>
  <si>
    <t>18 1 02 S1360</t>
  </si>
  <si>
    <t>Обеспечение подъездов к земельным участкам, предоставляемым отдельным категориям граждан, в рамках софинансирования с областным Дорожным фондом</t>
  </si>
  <si>
    <t xml:space="preserve">  городского бюджета по разделам, подразделам классификации расходов на 2018 год</t>
  </si>
  <si>
    <t xml:space="preserve">городского бюджета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бюджетов на 2018 год </t>
  </si>
  <si>
    <t>городского бюджета по разделам, подразделам, целевым статьям  (муниципальным программам и непрограммным направлениям деятельности), группам и подгруппам видов расходов в ведомственной структуре расходов на 2018 год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</si>
  <si>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учреждениях, за счет средств городского бюджета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</si>
  <si>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образования», за счет средств областного бюджета</t>
  </si>
  <si>
    <t>Осуществление выплат городских премий работникам муниципальных образовательных учреждений, за счет средств городского бюджета</t>
  </si>
  <si>
    <t>Осуществление денежных выплат работникам муниципальных образовательных учреждений, за счет средств городского бюджета</t>
  </si>
  <si>
    <t>Представление лучших педагогов сферы образования к поощрению наградами всех уровней, за счет средств городского бюджета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</si>
  <si>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дела», за счет средств областного бюджета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</si>
  <si>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среды», за счет средств областного бюджета</t>
  </si>
  <si>
    <t>Организация и проведение мероприятий с детьми и молодежью, за счет средств городского бюджета</t>
  </si>
  <si>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города, за счет средств городского бюджета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</si>
  <si>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отдыха, за счет средств областного бюджета</t>
  </si>
  <si>
    <t>Выплата ежемесячного социального пособия на оздоровление работникам учреждений здравоохранения, за счет средств городского бюджета</t>
  </si>
  <si>
    <t>Выплата ежемесячного социального пособия за найм (поднайм) жилых помещений специалистам учреждений здравоохранения, за счет средств городского бюджета</t>
  </si>
  <si>
    <t>Предоставление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годы», за счет средств вышестоящих бюджетов</t>
  </si>
  <si>
    <t>Осуществление дорожной деятельности в отношении автомобильных дорог общего пользования местного значения, за счет средств областного бюджета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</si>
  <si>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животных», за счет средств областного бюджета</t>
  </si>
  <si>
    <t>Реализация мероприятий по строительству, реконструкции объектов социальной и коммунальной инфраструктур муниципальной собственности, за счет средств областного бюджета</t>
  </si>
  <si>
    <t>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родителей», за счет средств областного бюджета</t>
  </si>
  <si>
    <t>Обеспечение питанием обучающихся в МОУ, за счет средств городского бюджета</t>
  </si>
  <si>
    <t>Обеспечение питанием обучающихся в МОУ, за счет средств областного бюджета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</si>
  <si>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учреждениях, за счет средств областного бюджета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</si>
  <si>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информации, за счет средств городского бюджета</t>
  </si>
  <si>
    <t>20 0 02 00160</t>
  </si>
  <si>
    <t>Капитальный ремонт объектов муниципальной собственности, за счет средств городского бюджета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</si>
  <si>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учреждениях, за счет средств областного бюджета</t>
  </si>
  <si>
    <t>Муниципальная программа «Развитие молодежной политики» на 2013 – 2020 годы</t>
  </si>
  <si>
    <t>Муниципальная программа «Развитие архивного дела» на 2013 – 2020 годы</t>
  </si>
  <si>
    <t>24 1 06 00000</t>
  </si>
  <si>
    <t>Правовое информирование граждан, создание условий для участия граждан в социально значимых мероприятиях, направленных на противодействие развитию негативных явлений в обществе</t>
  </si>
  <si>
    <t>24 3 00 00000</t>
  </si>
  <si>
    <t>Противодействие распространению психоактивных веществ и участие в работе по снижению масштабов их злоупотребления населением города Череповца</t>
  </si>
  <si>
    <t>24 3 01 00000</t>
  </si>
  <si>
    <t>Организация и проведение комплекса мероприятий, направленных на противодействие распространению психоактивных веществ на территории города</t>
  </si>
  <si>
    <t>21 1 02 00000</t>
  </si>
  <si>
    <t>Муниципальная программа «Содействие развитию потребительского рынка в городе Череповце на 2013 – 2020 годы»</t>
  </si>
  <si>
    <t>Муниципальная программа «Социальная поддержка граждан» на 2014 – 2022 годы</t>
  </si>
  <si>
    <t>13 0 11 00000</t>
  </si>
  <si>
    <t>13 0 11 72060</t>
  </si>
  <si>
    <t>13 0 12 00000</t>
  </si>
  <si>
    <t>Укрепление материально-технической базы в загородных оздоровительных учреждениях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</si>
  <si>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2020 годы</t>
  </si>
  <si>
    <t>Муниципальная программа «Развитие жилищно-коммунального хозяйства города Череповца» на 2014 – 2020 годы</t>
  </si>
  <si>
    <t>Содержание и ремонт улично-дорожной сети города, в рамках софинансирования с областным Дорожным фондом</t>
  </si>
  <si>
    <t>Осуществление бюджетных инвестиций в объекты капитального строительства, в рамках софинансирования с областным Дорожным фондом</t>
  </si>
  <si>
    <t>Осуществление капитального ремонта улично-дорожной сети города, в рамках софинансирования с областным Дорожным фондом</t>
  </si>
  <si>
    <t>Организация и проведение мероприятий с детьми и молодежью, организация поддержки детских и молодежных общественных объединений, в рамках текущей деятельности муниципального казенного учреждения «Череповецкий молодежный центр»</t>
  </si>
  <si>
    <t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отдыха, в рамках софинансирования с областным бюджетом </t>
  </si>
  <si>
    <t>18 1 06 00000</t>
  </si>
  <si>
    <t>Муниципальная программа «Развитие системы комплексной безопасности жизнедеятельности населения города» на 2014 – 2022 годы</t>
  </si>
  <si>
    <t>Приобретение первичных средств пожаротушения, перезарядка огнетушителей</t>
  </si>
  <si>
    <t>Муниципальная программа «Совершенствование муниципального управления в городе Череповце» на 2014 – 2020 годы</t>
  </si>
  <si>
    <t>Материально-техническое обеспечение деятельности муниципальных служащих органов местного самоуправления</t>
  </si>
  <si>
    <t>22 2 01 00000</t>
  </si>
  <si>
    <t>22 3 00 00000</t>
  </si>
  <si>
    <t>Обеспечение защиты прав и законных интересов граждан, общества, государства от угроз, связанных с коррупцией</t>
  </si>
  <si>
    <t>22 3 03 00000</t>
  </si>
  <si>
    <t>Правовое просвещение и информирование граждан по вопросам противодействия коррупции</t>
  </si>
  <si>
    <t>22 4 02 00000</t>
  </si>
  <si>
    <t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</t>
  </si>
  <si>
    <t>22 4 02 72250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</si>
  <si>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2020 годы</t>
  </si>
  <si>
    <t>Оборудование, мебель, малые архитектурные формы для образовательных учреждений</t>
  </si>
  <si>
    <t>Открытие групп на базе функционирующих, строящихся дошкольных учреждений, открытие новых общеобразовательных учреждений</t>
  </si>
  <si>
    <t>Оказание муниципальной услуги в области предоставления обще-развивающих программ и обеспечение деятельности МБУ ДО «ДДиЮ «Дом Знаний»</t>
  </si>
  <si>
    <t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</t>
  </si>
  <si>
    <t>Муниципальная программа «Поддержка и развитие малого и среднего предпринимательства в городе Череповце на 2013 – 2022 годы»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</si>
  <si>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t>
  </si>
  <si>
    <t>Организация и обеспечение подготовки спортивного резерва, в том числе: обеспечение участия спортивных сборных команд в спортивных соревнованиях, спортивная подготовка по олимпийским видам спорта (пулевая стрельба)</t>
  </si>
  <si>
    <t>Развитие детско-юношеского и массового спорта, в том числе: реализация дополнительных общеобразовательных общеразвивающих программ, реализация дополнительных предпрофессиональных программ</t>
  </si>
  <si>
    <t>Спорт высших достижений</t>
  </si>
  <si>
    <t>20 0 01 02000</t>
  </si>
  <si>
    <t>Строительство объектов сметной стоимостью 100 млн. рублей и более</t>
  </si>
  <si>
    <t>Выполнение мероприятий по созданию (реконструкции) и содержанию комплексной системы экстренного оповещения населения об угрозе возникновения или о возникновении чрезвычайных ситуаций</t>
  </si>
  <si>
    <t>20 0 01 02020</t>
  </si>
  <si>
    <t>20 0 01 S1354</t>
  </si>
  <si>
    <t>20 0 01 02040</t>
  </si>
  <si>
    <t>Улица Маяковского (от пр. Победы до ул. Сталеваров)</t>
  </si>
  <si>
    <t>Ежемесячное социальное пособие на оздоровление отдельным категориям работников муниципальных дошкольных образовательных учреждений и дошкольных групп муниципальных общеобразовательных учреждений, образованных в результате реорганизации, в соответствии с решением Череповецкой городской Думы от 29.05.2012 № 94</t>
  </si>
  <si>
    <t>Компенсация части родительской платы штатным работникам за присмотр и уход за детьми в муниципальных дошкольных образовательных учреждениях города и дошкольных группах муниципальных общеобразовательных учреждений города, образованных в результате реорганизации, в соответствии с решением Череповецкой городской Думы от 30.10.2012 № 203</t>
  </si>
  <si>
    <t>07 0 03 L5271</t>
  </si>
  <si>
    <t>07 0 03 R5271</t>
  </si>
  <si>
    <t>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предпринимательства, в рамках софинансирования с вышестоящим бюджетом</t>
  </si>
  <si>
    <t>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предпринимательства, за счет средств вышестоящих бюджетов</t>
  </si>
  <si>
    <t>20 0 01 R1100</t>
  </si>
  <si>
    <t>20 0 01 R5200</t>
  </si>
  <si>
    <t>Реализация мероприятий по строительству (реконструкции) объектов обеспечивающей инфраструктуры с длительным сроком окупаемости, находящихся в муниципальной собственности, за счет средств вышестоящих бюджетов</t>
  </si>
  <si>
    <t>Осуществление отдельных государственных полномочий в соответствии с законом области от 10 декабря 2014 года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услуг», за счет средств областного бюджета</t>
  </si>
  <si>
    <t>Внедрение и (или) эксплуатация современных технических средств, направленных на предупреждение правонарушений и преступлений в общественных местах и на улицах</t>
  </si>
  <si>
    <t>Внедрение и (или) эксплуатация аппаратно-программного комплекса «Безопасный город», за счет средств областного бюджета</t>
  </si>
  <si>
    <t>Внедрение и (или) эксплуатация современных технических средств, направленных на предупреждение правонарушений и преступлений в общественных местах и на улицах, в рамках софинансирования с областным бюджетом</t>
  </si>
  <si>
    <t>22 4 02 00170</t>
  </si>
  <si>
    <t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качества, за счет средств городского бюджета</t>
  </si>
  <si>
    <t>Реализация мероприятий по строительству зданий, пристроя к зданиям общеобразовательных организаций, за счет средств вышестоящих бюджетов</t>
  </si>
  <si>
    <t>ГРБС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</si>
  <si>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отношений», за счет средств областного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</si>
  <si>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</si>
  <si>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соответствии с законом области от 5 октября 2006 года 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(тарифов)», за счет средств областного бюджета</t>
  </si>
  <si>
    <t>01 1 06 00000</t>
  </si>
  <si>
    <t>Мероприятия государственной программы Российской Федерации «Доступная среда», за счет средств федерального бюджета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</si>
  <si>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</si>
  <si>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Приложение 17</t>
  </si>
  <si>
    <t>01 1 06 R0270</t>
  </si>
  <si>
    <t>Муниципальная программа «Повышение инвестиционной привлекательности города Череповца» на 2015 – 2022 годы</t>
  </si>
  <si>
    <t>18 1 02 00180</t>
  </si>
  <si>
    <t>Мероприятия по содержанию и ремонту улично-дорожной сети города, за счет средств городского бюджета</t>
  </si>
  <si>
    <t>05 0 17 00000</t>
  </si>
  <si>
    <t>05 0 17 00120</t>
  </si>
  <si>
    <t>05 0 17 72180</t>
  </si>
  <si>
    <t>Совершенствование организационных и правовых механизмов профессиональной служебной деятельности муниципальных служащих мэрии города</t>
  </si>
  <si>
    <t xml:space="preserve">Организация работы по ведению бухгалтерского (бюджетного) учета и отчетности и обеспечение деятельности МКУ «ЦБ ОУК» </t>
  </si>
  <si>
    <t>20 0 01 L5203</t>
  </si>
  <si>
    <t>Рз</t>
  </si>
  <si>
    <t>Улица Маяковского (от пр. Победы до ул. Сталеваров), в рамках софинансирования с областным Дорожным фондом</t>
  </si>
  <si>
    <t>Реконструкция зданий под детские сады, в рамках софинансирования</t>
  </si>
  <si>
    <t>Строительство средней общеобразовательной школы № 24 в 112 мкр., в рамках софинансирования</t>
  </si>
  <si>
    <t>Изменения</t>
  </si>
  <si>
    <t>Проект решения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</si>
  <si>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 года № 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государственных образовательных организациях), лиц из числа детей указанных категорий», за счет средств областного бюджета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</si>
  <si>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государственных образовательных организациях), лиц из числа детей указанных категорий» за счет средств областного бюджета</t>
  </si>
  <si>
    <t>от 07.12.2017 № 221</t>
  </si>
  <si>
    <t>Решение ЧГД от 07.12.2017 № 221</t>
  </si>
  <si>
    <t xml:space="preserve">от                 № </t>
  </si>
  <si>
    <t xml:space="preserve">от              № </t>
  </si>
  <si>
    <t xml:space="preserve">от                № </t>
  </si>
  <si>
    <t>14 0 01 51760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</si>
  <si>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Федерации», за счет средств федерального бюджета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</si>
  <si>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за счет средств федерального бюджета</t>
  </si>
  <si>
    <t>91 2 00 72290</t>
  </si>
  <si>
    <t>Осуществление отдельных государственных полномочий в соответствии с законом области «О наделении органов местного самоуправления отдельными государственными полномочиями по лицензионному контролю», за счет средств областного бюджета</t>
  </si>
  <si>
    <t>24 2 02 00000</t>
  </si>
  <si>
    <t>24 2 02 R0151</t>
  </si>
  <si>
    <t xml:space="preserve">Реализация мероприятий по обеспечению безопасности жизни и здоровья детей, обучающихся в общеобразовательных организациях города, за счет средств областного бюджета
</t>
  </si>
  <si>
    <t>Повышение безопасности дорожного движения в городе Череповце</t>
  </si>
  <si>
    <t>24 2 00 00000</t>
  </si>
  <si>
    <t>Повышение эффективности мероприятий, направленных на профилактику детского дорожно-транспортного травматизма</t>
  </si>
  <si>
    <t>01 1 06 R0271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</si>
  <si>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образования, за счет средств вышестоящих бюджетов</t>
  </si>
  <si>
    <t>01 1 06 L0271</t>
  </si>
  <si>
    <t>01 1 06 S0271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</si>
  <si>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образования, в рамках софинансирования с областным бюджетом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</si>
  <si>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образования, в рамках софинансирования с федеральным бюджетом</t>
  </si>
  <si>
    <t>24 2 02 S0151</t>
  </si>
  <si>
    <t xml:space="preserve">Реализация мероприятий по обеспечению безопасности жизни и здоровья детей, обучающихся в общеобразовательных организациях города, в рамках софинансирования с областным бюджетом </t>
  </si>
  <si>
    <t>01 3 06 00000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</si>
  <si>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</si>
  <si>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Решение ЧГД от 13.02.2018 № 18</t>
  </si>
  <si>
    <t>07 0 03 00190</t>
  </si>
  <si>
    <t>Финансовая поддержка субъектов малого и среднего предпринимательства, за счет средств городского бюджета</t>
  </si>
  <si>
    <t>18 2 05 00000</t>
  </si>
  <si>
    <t>Возмещение затрат по проведению капитального ремонта штукатурных фасадов  многоквартирных домов, прилегающих к общественно-массовым зонам, территориям</t>
  </si>
  <si>
    <t>23 0 08 00000</t>
  </si>
  <si>
    <t>02 1 09 00000</t>
  </si>
  <si>
    <t>20 0 01 L1101</t>
  </si>
  <si>
    <t>Развитие библиотечного дела</t>
  </si>
  <si>
    <t>Совершенствование деятельности социально ориентированных НКО</t>
  </si>
  <si>
    <t>Приложение 8</t>
  </si>
  <si>
    <t>Приложение 6</t>
  </si>
  <si>
    <t>Туристско-рекреационный кластер «Центральная городская набережная», в рамках софинансирования</t>
  </si>
  <si>
    <t>91 2 00 74001</t>
  </si>
  <si>
    <t xml:space="preserve">Социальные выплаты на приобретение (строительство) жилья молодым семьям, в рамках софинансирования </t>
  </si>
  <si>
    <t>02 1 05 00200</t>
  </si>
  <si>
    <t>Развитие музейного дела, за счет средств городского бюджета</t>
  </si>
  <si>
    <t>02 1 05 61660</t>
  </si>
  <si>
    <r>
      <t xml:space="preserve">Иные </t>
    </r>
    <r>
      <rPr>
        <sz val="13"/>
        <color rgb="FF000000"/>
        <rFont val="Times New Roman"/>
        <family val="1"/>
        <charset val="204"/>
      </rPr>
      <t>межбюджетные трансферты на предоставление государственных грантов в сфере культуры, за счет средств областного бюджета</t>
    </r>
  </si>
  <si>
    <t>Иные межбюджетные трансферты на стимулирование органов местного самоуправления муниципальных районов (городских округов) области за достижение наилучших результатов по социально-экономическому развитию муниципальных образований области, за счет средств областного бюджета</t>
  </si>
  <si>
    <t>20 0 02 71220</t>
  </si>
  <si>
    <t>Капитальный ремонт объектов социальной и коммунальной инфраструктуры муниципальной собственности, за счет средств областного бюджета</t>
  </si>
  <si>
    <t>20 0 02 S1220</t>
  </si>
  <si>
    <t>Капитальный ремонт объектов социальной и коммунальной инфраструктуры муниципальной собственности, в рамках софинансирования</t>
  </si>
  <si>
    <t>Решение ЧГД от 30.03.2018 № 50</t>
  </si>
  <si>
    <t>Приложение 4</t>
  </si>
  <si>
    <t>14 1 01 R4970</t>
  </si>
  <si>
    <t>Предоставление социальных выплат молодым семьям-участникам подпрограммы «Обеспечение жильем молодых семей» государственной программы Российской Федерации "Обеспечение доступным и комфортным жильем и коммунальными услугами граждан Российской Федерации", за счет средств вышестоящих бюджето</t>
  </si>
  <si>
    <t>12 0 00 00000</t>
  </si>
  <si>
    <t>Муниципальная программа «Формирование современной городской среды муниципального образования «Город Череповец» на 2018 – 2022 годы</t>
  </si>
  <si>
    <t>12 0 01 L5551</t>
  </si>
  <si>
    <t>12 0 01 R5551</t>
  </si>
  <si>
    <t>12 0 01 00000</t>
  </si>
  <si>
    <t>Благоустройство дворовых территорий многоквартирных домов</t>
  </si>
  <si>
    <t xml:space="preserve">Благоустройство дворовых территорий многоквартирных домов, в рамках софинансирования </t>
  </si>
  <si>
    <t>Благоустройство дворовых территорий многоквартирных домов, за счет средств вышестоящих бюджетов</t>
  </si>
  <si>
    <t>12 0 04 00000</t>
  </si>
  <si>
    <t>12 0 04 L5552</t>
  </si>
  <si>
    <t>12 0 04 R5552</t>
  </si>
  <si>
    <t>Благоустройство общественных территорий</t>
  </si>
  <si>
    <t xml:space="preserve">Благоустройство общественных территорий, в рамках софинансирования </t>
  </si>
  <si>
    <t>Благоустройство общественных территорий, за счет средств вышестоящих бюджетов</t>
  </si>
  <si>
    <t>14 1 01 L4970</t>
  </si>
  <si>
    <t>Социальные выплаты на приобретение (строительство) жилья молодым семьям, в рамках софинансирования</t>
  </si>
  <si>
    <t>12 0 04 00210</t>
  </si>
  <si>
    <t>Благоустройство общественных территорий, за счет средств городского бюджета</t>
  </si>
  <si>
    <t>01 6 04 00000</t>
  </si>
  <si>
    <t>Строительство комплексных спортивных площадок на территории общеобразовательных учреждений</t>
  </si>
  <si>
    <t>01 6 03 R5200</t>
  </si>
  <si>
    <t>01 6 03 L5200</t>
  </si>
  <si>
    <t>Открытие групп на базе функционирующих, строящихся дошкольных учреждений, открытие новых общеобразовательных учреждений, в рамках софинансирования</t>
  </si>
  <si>
    <t>Открытие групп на базе функционирующих, строящихся дошкольных учреждений, открытие новых общеобразовательных учреждений, за счет средств вышестоящих бюджетов</t>
  </si>
  <si>
    <t>01 6 03 00220</t>
  </si>
  <si>
    <t>Открытие групп на базе функционирующих, строящихся дошкольных учреждений, открытие новых общеобразовательных учреждений, за счет средств городского бюджета</t>
  </si>
  <si>
    <t>20 0 01 02050</t>
  </si>
  <si>
    <t>20 0 01 02060</t>
  </si>
  <si>
    <t>Детский сад № 20 в 112 мкр.</t>
  </si>
  <si>
    <t>Детский сад на 420 мест в 144 мкр.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</si>
</sst>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"/>
  </numFmts>
  <fonts count="14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3" fillId="0" borderId="0"/>
    <xf numFmtId="0" fontId="9" fillId="0" borderId="0"/>
    <xf numFmtId="0" fontId="6" fillId="0" borderId="0"/>
    <xf numFmtId="0" fontId="3" fillId="0" borderId="0"/>
    <xf numFmtId="0" fontId="8" fillId="0" borderId="0"/>
    <xf numFmtId="0" fontId="11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3" fillId="0" borderId="0"/>
  </cellStyleXfs>
  <cellXfs count="163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0" xfId="0" applyNumberFormat="1" applyFont="1" applyFill="1" applyBorder="1" applyAlignment="1" applyProtection="1">
      <alignment horizontal="justify" vertical="center"/>
    </xf>
    <xf numFmtId="0" fontId="1" fillId="3" borderId="0" xfId="0" applyNumberFormat="1" applyFont="1" applyFill="1" applyBorder="1" applyAlignment="1" applyProtection="1">
      <alignment vertical="center"/>
    </xf>
    <xf numFmtId="0" fontId="1" fillId="3" borderId="0" xfId="0" applyNumberFormat="1" applyFont="1" applyFill="1" applyBorder="1" applyAlignment="1" applyProtection="1">
      <alignment horizontal="right" vertical="center"/>
    </xf>
    <xf numFmtId="0" fontId="1" fillId="3" borderId="0" xfId="0" applyFont="1" applyFill="1" applyBorder="1" applyAlignment="1">
      <alignment horizontal="justify" vertical="center" wrapText="1"/>
    </xf>
    <xf numFmtId="49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justify"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11" applyNumberFormat="1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justify" vertical="center"/>
    </xf>
    <xf numFmtId="0" fontId="1" fillId="3" borderId="0" xfId="0" applyFont="1" applyFill="1" applyAlignment="1">
      <alignment vertical="center"/>
    </xf>
    <xf numFmtId="0" fontId="1" fillId="3" borderId="0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justify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vertical="center"/>
    </xf>
    <xf numFmtId="1" fontId="1" fillId="3" borderId="1" xfId="0" applyNumberFormat="1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7" applyNumberFormat="1" applyFont="1" applyFill="1" applyBorder="1" applyAlignment="1" applyProtection="1">
      <alignment horizontal="justify" vertical="center" wrapText="1"/>
      <protection hidden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7" applyNumberFormat="1" applyFont="1" applyFill="1" applyBorder="1" applyAlignment="1" applyProtection="1">
      <alignment horizontal="justify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 applyProtection="1">
      <alignment vertical="center" wrapText="1"/>
    </xf>
    <xf numFmtId="164" fontId="1" fillId="3" borderId="0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top"/>
    </xf>
    <xf numFmtId="0" fontId="1" fillId="3" borderId="1" xfId="0" applyNumberFormat="1" applyFont="1" applyFill="1" applyBorder="1" applyAlignment="1" applyProtection="1">
      <alignment horizontal="justify" vertical="center"/>
    </xf>
    <xf numFmtId="0" fontId="1" fillId="3" borderId="1" xfId="7" applyNumberFormat="1" applyFont="1" applyFill="1" applyBorder="1" applyAlignment="1" applyProtection="1">
      <alignment horizontal="justify" vertical="center"/>
      <protection hidden="1"/>
    </xf>
    <xf numFmtId="165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0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top" wrapText="1"/>
    </xf>
    <xf numFmtId="4" fontId="1" fillId="3" borderId="0" xfId="0" applyNumberFormat="1" applyFont="1" applyFill="1" applyBorder="1" applyAlignment="1">
      <alignment horizontal="justify" vertical="center" wrapText="1"/>
    </xf>
    <xf numFmtId="4" fontId="1" fillId="3" borderId="0" xfId="0" applyNumberFormat="1" applyFont="1" applyFill="1" applyBorder="1" applyAlignment="1" applyProtection="1">
      <alignment horizontal="center" vertical="center"/>
    </xf>
    <xf numFmtId="4" fontId="1" fillId="3" borderId="0" xfId="0" applyNumberFormat="1" applyFont="1" applyFill="1" applyBorder="1" applyAlignment="1" applyProtection="1">
      <alignment horizontal="justify" vertical="center" wrapText="1"/>
    </xf>
    <xf numFmtId="4" fontId="1" fillId="3" borderId="0" xfId="24" applyNumberFormat="1" applyFont="1" applyFill="1" applyBorder="1" applyAlignment="1" applyProtection="1">
      <alignment horizontal="justify" vertical="center" wrapText="1"/>
      <protection hidden="1"/>
    </xf>
    <xf numFmtId="0" fontId="1" fillId="3" borderId="0" xfId="7" applyNumberFormat="1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justify" vertical="center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" xfId="0" applyNumberFormat="1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5" borderId="1" xfId="0" applyNumberFormat="1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justify"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25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  <cellStyle name="Обычный_tmp" xfId="24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25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26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27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28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29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30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31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32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33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34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35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36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37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38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39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40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41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42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43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44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45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46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47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48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49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50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51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52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53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54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55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56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3" sqref="A13:XFD13"/>
    </sheetView>
  </sheetViews>
  <sheetFormatPr defaultColWidth="9.140625" defaultRowHeight="12.75" x14ac:dyDescent="0.2"/>
  <cols>
    <col min="1" max="1" width="9.140625" style="12"/>
    <col min="2" max="2" width="50.7109375" style="12" customWidth="1"/>
    <col min="3" max="16384" width="9.140625" style="12"/>
  </cols>
  <sheetData>
    <row r="1" spans="1:2" ht="16.5" x14ac:dyDescent="0.2">
      <c r="A1" s="10" t="s">
        <v>124</v>
      </c>
      <c r="B1" s="11" t="s">
        <v>68</v>
      </c>
    </row>
    <row r="2" spans="1:2" ht="16.5" x14ac:dyDescent="0.2">
      <c r="A2" s="1">
        <v>801</v>
      </c>
      <c r="B2" s="5" t="s">
        <v>93</v>
      </c>
    </row>
    <row r="3" spans="1:2" ht="16.5" x14ac:dyDescent="0.2">
      <c r="A3" s="1">
        <v>802</v>
      </c>
      <c r="B3" s="4" t="s">
        <v>94</v>
      </c>
    </row>
    <row r="4" spans="1:2" ht="49.5" x14ac:dyDescent="0.2">
      <c r="A4" s="1">
        <v>803</v>
      </c>
      <c r="B4" s="6" t="s">
        <v>95</v>
      </c>
    </row>
    <row r="5" spans="1:2" ht="33" x14ac:dyDescent="0.2">
      <c r="A5" s="1">
        <v>804</v>
      </c>
      <c r="B5" s="6" t="s">
        <v>96</v>
      </c>
    </row>
    <row r="6" spans="1:2" ht="33" x14ac:dyDescent="0.2">
      <c r="A6" s="1">
        <v>805</v>
      </c>
      <c r="B6" s="6" t="s">
        <v>97</v>
      </c>
    </row>
    <row r="7" spans="1:2" ht="33" x14ac:dyDescent="0.2">
      <c r="A7" s="1">
        <v>807</v>
      </c>
      <c r="B7" s="6" t="s">
        <v>98</v>
      </c>
    </row>
    <row r="8" spans="1:2" ht="33" x14ac:dyDescent="0.2">
      <c r="A8" s="1">
        <v>808</v>
      </c>
      <c r="B8" s="6" t="s">
        <v>47</v>
      </c>
    </row>
    <row r="9" spans="1:2" ht="33" x14ac:dyDescent="0.2">
      <c r="A9" s="1">
        <v>809</v>
      </c>
      <c r="B9" s="6" t="s">
        <v>99</v>
      </c>
    </row>
    <row r="10" spans="1:2" ht="33" x14ac:dyDescent="0.2">
      <c r="A10" s="1">
        <v>810</v>
      </c>
      <c r="B10" s="6" t="s">
        <v>100</v>
      </c>
    </row>
    <row r="11" spans="1:2" ht="33" x14ac:dyDescent="0.2">
      <c r="A11" s="1">
        <v>811</v>
      </c>
      <c r="B11" s="6" t="s">
        <v>101</v>
      </c>
    </row>
    <row r="12" spans="1:2" ht="33" x14ac:dyDescent="0.2">
      <c r="A12" s="25">
        <v>812</v>
      </c>
      <c r="B12" s="6" t="s">
        <v>161</v>
      </c>
    </row>
    <row r="13" spans="1:2" ht="33" x14ac:dyDescent="0.2">
      <c r="A13" s="1">
        <v>842</v>
      </c>
      <c r="B13" s="3" t="s">
        <v>64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40" sqref="A40"/>
    </sheetView>
  </sheetViews>
  <sheetFormatPr defaultColWidth="9.140625" defaultRowHeight="12.75" x14ac:dyDescent="0.2"/>
  <cols>
    <col min="1" max="1" width="13.140625" style="13" customWidth="1"/>
    <col min="2" max="2" width="55.5703125" style="12" customWidth="1"/>
    <col min="3" max="16384" width="9.140625" style="12"/>
  </cols>
  <sheetData>
    <row r="1" spans="1:2" ht="16.5" x14ac:dyDescent="0.2">
      <c r="A1" s="16" t="s">
        <v>124</v>
      </c>
      <c r="B1" s="14" t="s">
        <v>68</v>
      </c>
    </row>
    <row r="2" spans="1:2" ht="16.5" x14ac:dyDescent="0.25">
      <c r="A2" s="2" t="s">
        <v>70</v>
      </c>
      <c r="B2" s="15" t="s">
        <v>432</v>
      </c>
    </row>
    <row r="3" spans="1:2" ht="33" x14ac:dyDescent="0.25">
      <c r="A3" s="2" t="s">
        <v>72</v>
      </c>
      <c r="B3" s="15" t="s">
        <v>129</v>
      </c>
    </row>
    <row r="4" spans="1:2" ht="16.5" x14ac:dyDescent="0.25">
      <c r="A4" s="2" t="s">
        <v>73</v>
      </c>
      <c r="B4" s="15" t="s">
        <v>48</v>
      </c>
    </row>
    <row r="5" spans="1:2" ht="16.5" x14ac:dyDescent="0.25">
      <c r="A5" s="2" t="s">
        <v>78</v>
      </c>
      <c r="B5" s="15" t="s">
        <v>41</v>
      </c>
    </row>
    <row r="6" spans="1:2" ht="16.5" x14ac:dyDescent="0.25">
      <c r="A6" s="2" t="s">
        <v>74</v>
      </c>
      <c r="B6" s="15" t="s">
        <v>32</v>
      </c>
    </row>
    <row r="7" spans="1:2" ht="16.5" x14ac:dyDescent="0.25">
      <c r="A7" s="2" t="s">
        <v>60</v>
      </c>
      <c r="B7" s="15" t="s">
        <v>42</v>
      </c>
    </row>
    <row r="8" spans="1:2" ht="16.5" x14ac:dyDescent="0.25">
      <c r="A8" s="2" t="s">
        <v>79</v>
      </c>
      <c r="B8" s="15" t="s">
        <v>130</v>
      </c>
    </row>
    <row r="9" spans="1:2" ht="16.5" x14ac:dyDescent="0.25">
      <c r="A9" s="2" t="s">
        <v>76</v>
      </c>
      <c r="B9" s="15" t="s">
        <v>112</v>
      </c>
    </row>
    <row r="10" spans="1:2" ht="16.5" x14ac:dyDescent="0.25">
      <c r="A10" s="2" t="s">
        <v>53</v>
      </c>
      <c r="B10" s="15" t="s">
        <v>43</v>
      </c>
    </row>
    <row r="11" spans="1:2" ht="16.5" x14ac:dyDescent="0.25">
      <c r="A11" s="2" t="s">
        <v>81</v>
      </c>
      <c r="B11" s="15" t="s">
        <v>40</v>
      </c>
    </row>
    <row r="12" spans="1:2" ht="16.5" x14ac:dyDescent="0.25">
      <c r="A12" s="2" t="s">
        <v>61</v>
      </c>
      <c r="B12" s="15" t="s">
        <v>75</v>
      </c>
    </row>
    <row r="13" spans="1:2" ht="33" x14ac:dyDescent="0.25">
      <c r="A13" s="2" t="s">
        <v>55</v>
      </c>
      <c r="B13" s="15" t="s">
        <v>46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1"/>
  <sheetViews>
    <sheetView topLeftCell="A209" zoomScale="80" zoomScaleNormal="80" workbookViewId="0">
      <selection activeCell="B222" sqref="B222"/>
    </sheetView>
  </sheetViews>
  <sheetFormatPr defaultColWidth="9.140625" defaultRowHeight="16.5" x14ac:dyDescent="0.2"/>
  <cols>
    <col min="1" max="1" width="16.5703125" style="41" customWidth="1"/>
    <col min="2" max="2" width="89" style="94" customWidth="1"/>
    <col min="3" max="3" width="17.85546875" style="86" customWidth="1"/>
    <col min="4" max="16384" width="9.140625" style="86"/>
  </cols>
  <sheetData>
    <row r="1" spans="1:2" x14ac:dyDescent="0.2">
      <c r="A1" s="59" t="s">
        <v>124</v>
      </c>
      <c r="B1" s="92" t="s">
        <v>68</v>
      </c>
    </row>
    <row r="2" spans="1:2" x14ac:dyDescent="0.2">
      <c r="A2" s="57" t="s">
        <v>199</v>
      </c>
      <c r="B2" s="53" t="s">
        <v>430</v>
      </c>
    </row>
    <row r="3" spans="1:2" ht="66" x14ac:dyDescent="0.2">
      <c r="A3" s="57" t="s">
        <v>190</v>
      </c>
      <c r="B3" s="53" t="s">
        <v>189</v>
      </c>
    </row>
    <row r="4" spans="1:2" x14ac:dyDescent="0.2">
      <c r="A4" s="57" t="s">
        <v>193</v>
      </c>
      <c r="B4" s="53" t="s">
        <v>431</v>
      </c>
    </row>
    <row r="5" spans="1:2" x14ac:dyDescent="0.2">
      <c r="A5" s="57" t="s">
        <v>191</v>
      </c>
      <c r="B5" s="53" t="s">
        <v>555</v>
      </c>
    </row>
    <row r="6" spans="1:2" x14ac:dyDescent="0.2">
      <c r="A6" s="57" t="s">
        <v>192</v>
      </c>
      <c r="B6" s="53" t="s">
        <v>556</v>
      </c>
    </row>
    <row r="7" spans="1:2" ht="33" x14ac:dyDescent="0.2">
      <c r="A7" s="57" t="s">
        <v>194</v>
      </c>
      <c r="B7" s="53" t="s">
        <v>117</v>
      </c>
    </row>
    <row r="8" spans="1:2" ht="49.5" x14ac:dyDescent="0.2">
      <c r="A8" s="57" t="s">
        <v>195</v>
      </c>
      <c r="B8" s="53" t="s">
        <v>163</v>
      </c>
    </row>
    <row r="9" spans="1:2" x14ac:dyDescent="0.2">
      <c r="A9" s="57" t="s">
        <v>196</v>
      </c>
      <c r="B9" s="53" t="s">
        <v>197</v>
      </c>
    </row>
    <row r="10" spans="1:2" ht="21" customHeight="1" x14ac:dyDescent="0.2">
      <c r="A10" s="57" t="s">
        <v>198</v>
      </c>
      <c r="B10" s="53" t="s">
        <v>109</v>
      </c>
    </row>
    <row r="11" spans="1:2" ht="33" x14ac:dyDescent="0.2">
      <c r="A11" s="57" t="s">
        <v>200</v>
      </c>
      <c r="B11" s="53" t="s">
        <v>466</v>
      </c>
    </row>
    <row r="12" spans="1:2" ht="56.25" customHeight="1" x14ac:dyDescent="0.2">
      <c r="A12" s="57" t="s">
        <v>426</v>
      </c>
      <c r="B12" s="53" t="s">
        <v>561</v>
      </c>
    </row>
    <row r="13" spans="1:2" ht="87" customHeight="1" x14ac:dyDescent="0.2">
      <c r="A13" s="57" t="s">
        <v>201</v>
      </c>
      <c r="B13" s="53" t="s">
        <v>435</v>
      </c>
    </row>
    <row r="14" spans="1:2" ht="71.25" customHeight="1" x14ac:dyDescent="0.2">
      <c r="A14" s="57" t="s">
        <v>202</v>
      </c>
      <c r="B14" s="53" t="s">
        <v>499</v>
      </c>
    </row>
    <row r="15" spans="1:2" ht="74.25" customHeight="1" x14ac:dyDescent="0.2">
      <c r="A15" s="57" t="s">
        <v>203</v>
      </c>
      <c r="B15" s="53" t="s">
        <v>504</v>
      </c>
    </row>
    <row r="16" spans="1:2" ht="45.75" customHeight="1" x14ac:dyDescent="0.2">
      <c r="A16" s="8" t="s">
        <v>634</v>
      </c>
      <c r="B16" s="53" t="s">
        <v>636</v>
      </c>
    </row>
    <row r="17" spans="1:2" ht="41.25" customHeight="1" x14ac:dyDescent="0.2">
      <c r="A17" s="8" t="s">
        <v>638</v>
      </c>
      <c r="B17" s="53" t="s">
        <v>635</v>
      </c>
    </row>
    <row r="18" spans="1:2" s="129" customFormat="1" ht="117" customHeight="1" x14ac:dyDescent="0.2">
      <c r="A18" s="61" t="s">
        <v>674</v>
      </c>
      <c r="B18" s="50" t="s">
        <v>677</v>
      </c>
    </row>
    <row r="19" spans="1:2" s="127" customFormat="1" ht="94.5" customHeight="1" x14ac:dyDescent="0.2">
      <c r="A19" s="61" t="s">
        <v>672</v>
      </c>
      <c r="B19" s="50" t="s">
        <v>673</v>
      </c>
    </row>
    <row r="20" spans="1:2" s="129" customFormat="1" ht="94.5" customHeight="1" x14ac:dyDescent="0.2">
      <c r="A20" s="61" t="s">
        <v>675</v>
      </c>
      <c r="B20" s="50" t="s">
        <v>676</v>
      </c>
    </row>
    <row r="21" spans="1:2" ht="27.75" customHeight="1" x14ac:dyDescent="0.2">
      <c r="A21" s="57" t="s">
        <v>204</v>
      </c>
      <c r="B21" s="53" t="s">
        <v>102</v>
      </c>
    </row>
    <row r="22" spans="1:2" ht="49.5" x14ac:dyDescent="0.2">
      <c r="A22" s="57" t="s">
        <v>205</v>
      </c>
      <c r="B22" s="53" t="s">
        <v>178</v>
      </c>
    </row>
    <row r="23" spans="1:2" ht="66" x14ac:dyDescent="0.2">
      <c r="A23" s="57" t="s">
        <v>206</v>
      </c>
      <c r="B23" s="53" t="s">
        <v>538</v>
      </c>
    </row>
    <row r="24" spans="1:2" ht="66" x14ac:dyDescent="0.2">
      <c r="A24" s="57" t="s">
        <v>207</v>
      </c>
      <c r="B24" s="53" t="s">
        <v>557</v>
      </c>
    </row>
    <row r="25" spans="1:2" ht="33" x14ac:dyDescent="0.2">
      <c r="A25" s="57" t="s">
        <v>208</v>
      </c>
      <c r="B25" s="53" t="s">
        <v>118</v>
      </c>
    </row>
    <row r="26" spans="1:2" ht="66" x14ac:dyDescent="0.2">
      <c r="A26" s="57" t="s">
        <v>209</v>
      </c>
      <c r="B26" s="53" t="s">
        <v>467</v>
      </c>
    </row>
    <row r="27" spans="1:2" ht="66" x14ac:dyDescent="0.2">
      <c r="A27" s="57" t="s">
        <v>210</v>
      </c>
      <c r="B27" s="53" t="s">
        <v>539</v>
      </c>
    </row>
    <row r="28" spans="1:2" ht="33" x14ac:dyDescent="0.2">
      <c r="A28" s="57" t="s">
        <v>436</v>
      </c>
      <c r="B28" s="53" t="s">
        <v>437</v>
      </c>
    </row>
    <row r="29" spans="1:2" x14ac:dyDescent="0.2">
      <c r="A29" s="57" t="s">
        <v>211</v>
      </c>
      <c r="B29" s="53" t="s">
        <v>119</v>
      </c>
    </row>
    <row r="30" spans="1:2" x14ac:dyDescent="0.2">
      <c r="A30" s="57" t="s">
        <v>212</v>
      </c>
      <c r="B30" s="53" t="s">
        <v>213</v>
      </c>
    </row>
    <row r="31" spans="1:2" ht="49.5" x14ac:dyDescent="0.2">
      <c r="A31" s="57" t="s">
        <v>214</v>
      </c>
      <c r="B31" s="53" t="s">
        <v>215</v>
      </c>
    </row>
    <row r="32" spans="1:2" ht="40.5" customHeight="1" x14ac:dyDescent="0.2">
      <c r="A32" s="57" t="s">
        <v>438</v>
      </c>
      <c r="B32" s="53" t="s">
        <v>437</v>
      </c>
    </row>
    <row r="33" spans="1:2" s="129" customFormat="1" ht="48" customHeight="1" x14ac:dyDescent="0.2">
      <c r="A33" s="61" t="s">
        <v>680</v>
      </c>
      <c r="B33" s="50" t="s">
        <v>681</v>
      </c>
    </row>
    <row r="34" spans="1:2" ht="51.75" customHeight="1" x14ac:dyDescent="0.2">
      <c r="A34" s="57" t="s">
        <v>495</v>
      </c>
      <c r="B34" s="53" t="s">
        <v>601</v>
      </c>
    </row>
    <row r="35" spans="1:2" ht="22.5" customHeight="1" x14ac:dyDescent="0.2">
      <c r="A35" s="57" t="s">
        <v>216</v>
      </c>
      <c r="B35" s="53" t="s">
        <v>120</v>
      </c>
    </row>
    <row r="36" spans="1:2" ht="33" x14ac:dyDescent="0.2">
      <c r="A36" s="57" t="s">
        <v>217</v>
      </c>
      <c r="B36" s="53" t="s">
        <v>218</v>
      </c>
    </row>
    <row r="37" spans="1:2" ht="33" x14ac:dyDescent="0.2">
      <c r="A37" s="57" t="s">
        <v>219</v>
      </c>
      <c r="B37" s="53" t="s">
        <v>540</v>
      </c>
    </row>
    <row r="38" spans="1:2" ht="36" customHeight="1" x14ac:dyDescent="0.2">
      <c r="A38" s="57" t="s">
        <v>220</v>
      </c>
      <c r="B38" s="53" t="s">
        <v>156</v>
      </c>
    </row>
    <row r="39" spans="1:2" ht="33" x14ac:dyDescent="0.2">
      <c r="A39" s="57" t="s">
        <v>221</v>
      </c>
      <c r="B39" s="53" t="s">
        <v>222</v>
      </c>
    </row>
    <row r="40" spans="1:2" ht="39.75" customHeight="1" x14ac:dyDescent="0.2">
      <c r="A40" s="57" t="s">
        <v>223</v>
      </c>
      <c r="B40" s="53" t="s">
        <v>541</v>
      </c>
    </row>
    <row r="41" spans="1:2" ht="99" x14ac:dyDescent="0.2">
      <c r="A41" s="95" t="s">
        <v>224</v>
      </c>
      <c r="B41" s="92" t="s">
        <v>505</v>
      </c>
    </row>
    <row r="42" spans="1:2" ht="90" customHeight="1" x14ac:dyDescent="0.2">
      <c r="A42" s="57" t="s">
        <v>225</v>
      </c>
      <c r="B42" s="53" t="s">
        <v>614</v>
      </c>
    </row>
    <row r="43" spans="1:2" ht="90" customHeight="1" x14ac:dyDescent="0.2">
      <c r="A43" s="57" t="s">
        <v>226</v>
      </c>
      <c r="B43" s="53" t="s">
        <v>615</v>
      </c>
    </row>
    <row r="44" spans="1:2" ht="33" x14ac:dyDescent="0.2">
      <c r="A44" s="96" t="s">
        <v>227</v>
      </c>
      <c r="B44" s="102" t="s">
        <v>228</v>
      </c>
    </row>
    <row r="45" spans="1:2" ht="33" x14ac:dyDescent="0.2">
      <c r="A45" s="57" t="s">
        <v>229</v>
      </c>
      <c r="B45" s="53" t="s">
        <v>542</v>
      </c>
    </row>
    <row r="46" spans="1:2" ht="33" x14ac:dyDescent="0.2">
      <c r="A46" s="57" t="s">
        <v>230</v>
      </c>
      <c r="B46" s="53" t="s">
        <v>157</v>
      </c>
    </row>
    <row r="47" spans="1:2" ht="33" x14ac:dyDescent="0.2">
      <c r="A47" s="57" t="s">
        <v>231</v>
      </c>
      <c r="B47" s="53" t="s">
        <v>150</v>
      </c>
    </row>
    <row r="48" spans="1:2" ht="27.75" customHeight="1" x14ac:dyDescent="0.2">
      <c r="A48" s="57" t="s">
        <v>439</v>
      </c>
      <c r="B48" s="53" t="s">
        <v>440</v>
      </c>
    </row>
    <row r="49" spans="1:2" ht="38.25" customHeight="1" x14ac:dyDescent="0.2">
      <c r="A49" s="57" t="s">
        <v>441</v>
      </c>
      <c r="B49" s="53" t="s">
        <v>598</v>
      </c>
    </row>
    <row r="50" spans="1:2" ht="43.5" customHeight="1" x14ac:dyDescent="0.2">
      <c r="A50" s="57" t="s">
        <v>517</v>
      </c>
      <c r="B50" s="53" t="s">
        <v>599</v>
      </c>
    </row>
    <row r="51" spans="1:2" s="149" customFormat="1" ht="96" customHeight="1" x14ac:dyDescent="0.2">
      <c r="A51" s="114" t="s">
        <v>734</v>
      </c>
      <c r="B51" s="115" t="s">
        <v>735</v>
      </c>
    </row>
    <row r="52" spans="1:2" s="141" customFormat="1" ht="69" customHeight="1" x14ac:dyDescent="0.2">
      <c r="A52" s="114" t="s">
        <v>731</v>
      </c>
      <c r="B52" s="115" t="s">
        <v>732</v>
      </c>
    </row>
    <row r="53" spans="1:2" s="141" customFormat="1" ht="66" customHeight="1" x14ac:dyDescent="0.2">
      <c r="A53" s="114" t="s">
        <v>730</v>
      </c>
      <c r="B53" s="115" t="s">
        <v>733</v>
      </c>
    </row>
    <row r="54" spans="1:2" s="141" customFormat="1" ht="43.5" customHeight="1" x14ac:dyDescent="0.2">
      <c r="A54" s="114" t="s">
        <v>728</v>
      </c>
      <c r="B54" s="115" t="s">
        <v>729</v>
      </c>
    </row>
    <row r="55" spans="1:2" ht="33" x14ac:dyDescent="0.2">
      <c r="A55" s="57" t="s">
        <v>232</v>
      </c>
      <c r="B55" s="53" t="s">
        <v>233</v>
      </c>
    </row>
    <row r="56" spans="1:2" ht="33" x14ac:dyDescent="0.2">
      <c r="A56" s="57" t="s">
        <v>266</v>
      </c>
      <c r="B56" s="53" t="s">
        <v>164</v>
      </c>
    </row>
    <row r="57" spans="1:2" x14ac:dyDescent="0.2">
      <c r="A57" s="57" t="s">
        <v>267</v>
      </c>
      <c r="B57" s="53" t="s">
        <v>197</v>
      </c>
    </row>
    <row r="58" spans="1:2" ht="33" x14ac:dyDescent="0.2">
      <c r="A58" s="57" t="s">
        <v>268</v>
      </c>
      <c r="B58" s="53" t="s">
        <v>646</v>
      </c>
    </row>
    <row r="59" spans="1:2" x14ac:dyDescent="0.2">
      <c r="A59" s="57" t="s">
        <v>235</v>
      </c>
      <c r="B59" s="53" t="s">
        <v>234</v>
      </c>
    </row>
    <row r="60" spans="1:2" ht="49.5" x14ac:dyDescent="0.2">
      <c r="A60" s="57" t="s">
        <v>236</v>
      </c>
      <c r="B60" s="53" t="s">
        <v>237</v>
      </c>
    </row>
    <row r="61" spans="1:2" ht="33" x14ac:dyDescent="0.2">
      <c r="A61" s="57" t="s">
        <v>239</v>
      </c>
      <c r="B61" s="53" t="s">
        <v>238</v>
      </c>
    </row>
    <row r="62" spans="1:2" ht="33" x14ac:dyDescent="0.2">
      <c r="A62" s="57" t="s">
        <v>240</v>
      </c>
      <c r="B62" s="53" t="s">
        <v>241</v>
      </c>
    </row>
    <row r="63" spans="1:2" x14ac:dyDescent="0.2">
      <c r="A63" s="95" t="s">
        <v>520</v>
      </c>
      <c r="B63" s="92" t="s">
        <v>521</v>
      </c>
    </row>
    <row r="64" spans="1:2" s="43" customFormat="1" ht="25.5" customHeight="1" x14ac:dyDescent="0.2">
      <c r="A64" s="146" t="s">
        <v>697</v>
      </c>
      <c r="B64" s="147" t="s">
        <v>698</v>
      </c>
    </row>
    <row r="65" spans="1:2" s="43" customFormat="1" ht="41.25" customHeight="1" x14ac:dyDescent="0.2">
      <c r="A65" s="61" t="s">
        <v>699</v>
      </c>
      <c r="B65" s="50" t="s">
        <v>700</v>
      </c>
    </row>
    <row r="66" spans="1:2" ht="49.5" x14ac:dyDescent="0.2">
      <c r="A66" s="96" t="s">
        <v>242</v>
      </c>
      <c r="B66" s="102" t="s">
        <v>243</v>
      </c>
    </row>
    <row r="67" spans="1:2" x14ac:dyDescent="0.2">
      <c r="A67" s="57" t="s">
        <v>244</v>
      </c>
      <c r="B67" s="53" t="s">
        <v>245</v>
      </c>
    </row>
    <row r="68" spans="1:2" ht="33" x14ac:dyDescent="0.2">
      <c r="A68" s="57" t="s">
        <v>246</v>
      </c>
      <c r="B68" s="53" t="s">
        <v>247</v>
      </c>
    </row>
    <row r="69" spans="1:2" s="43" customFormat="1" x14ac:dyDescent="0.2">
      <c r="A69" s="61" t="s">
        <v>688</v>
      </c>
      <c r="B69" s="50" t="s">
        <v>690</v>
      </c>
    </row>
    <row r="70" spans="1:2" x14ac:dyDescent="0.2">
      <c r="A70" s="57" t="s">
        <v>248</v>
      </c>
      <c r="B70" s="53" t="s">
        <v>249</v>
      </c>
    </row>
    <row r="71" spans="1:2" ht="33" x14ac:dyDescent="0.2">
      <c r="A71" s="57" t="s">
        <v>250</v>
      </c>
      <c r="B71" s="53" t="s">
        <v>251</v>
      </c>
    </row>
    <row r="72" spans="1:2" ht="37.5" customHeight="1" x14ac:dyDescent="0.2">
      <c r="A72" s="57" t="s">
        <v>252</v>
      </c>
      <c r="B72" s="53" t="s">
        <v>600</v>
      </c>
    </row>
    <row r="73" spans="1:2" ht="33" x14ac:dyDescent="0.2">
      <c r="A73" s="57" t="s">
        <v>253</v>
      </c>
      <c r="B73" s="53" t="s">
        <v>254</v>
      </c>
    </row>
    <row r="74" spans="1:2" ht="33" x14ac:dyDescent="0.2">
      <c r="A74" s="57" t="s">
        <v>442</v>
      </c>
      <c r="B74" s="53" t="s">
        <v>506</v>
      </c>
    </row>
    <row r="75" spans="1:2" x14ac:dyDescent="0.2">
      <c r="A75" s="57" t="s">
        <v>255</v>
      </c>
      <c r="B75" s="53" t="s">
        <v>256</v>
      </c>
    </row>
    <row r="76" spans="1:2" ht="33" x14ac:dyDescent="0.2">
      <c r="A76" s="57" t="s">
        <v>257</v>
      </c>
      <c r="B76" s="53" t="s">
        <v>258</v>
      </c>
    </row>
    <row r="77" spans="1:2" x14ac:dyDescent="0.2">
      <c r="A77" s="57" t="s">
        <v>259</v>
      </c>
      <c r="B77" s="53" t="s">
        <v>260</v>
      </c>
    </row>
    <row r="78" spans="1:2" ht="33" x14ac:dyDescent="0.2">
      <c r="A78" s="57" t="s">
        <v>443</v>
      </c>
      <c r="B78" s="53" t="s">
        <v>444</v>
      </c>
    </row>
    <row r="79" spans="1:2" x14ac:dyDescent="0.2">
      <c r="A79" s="57" t="s">
        <v>261</v>
      </c>
      <c r="B79" s="53" t="s">
        <v>262</v>
      </c>
    </row>
    <row r="80" spans="1:2" x14ac:dyDescent="0.2">
      <c r="A80" s="57" t="s">
        <v>263</v>
      </c>
      <c r="B80" s="53" t="s">
        <v>445</v>
      </c>
    </row>
    <row r="81" spans="1:2" x14ac:dyDescent="0.2">
      <c r="A81" s="57" t="s">
        <v>264</v>
      </c>
      <c r="B81" s="53" t="s">
        <v>265</v>
      </c>
    </row>
    <row r="82" spans="1:2" ht="33" x14ac:dyDescent="0.2">
      <c r="A82" s="57" t="s">
        <v>269</v>
      </c>
      <c r="B82" s="53" t="s">
        <v>270</v>
      </c>
    </row>
    <row r="83" spans="1:2" x14ac:dyDescent="0.2">
      <c r="A83" s="95" t="s">
        <v>271</v>
      </c>
      <c r="B83" s="92" t="s">
        <v>151</v>
      </c>
    </row>
    <row r="84" spans="1:2" ht="55.5" customHeight="1" x14ac:dyDescent="0.2">
      <c r="A84" s="57" t="s">
        <v>272</v>
      </c>
      <c r="B84" s="53" t="s">
        <v>604</v>
      </c>
    </row>
    <row r="85" spans="1:2" ht="59.25" customHeight="1" x14ac:dyDescent="0.2">
      <c r="A85" s="57" t="s">
        <v>273</v>
      </c>
      <c r="B85" s="53" t="s">
        <v>605</v>
      </c>
    </row>
    <row r="86" spans="1:2" x14ac:dyDescent="0.2">
      <c r="A86" s="96" t="s">
        <v>274</v>
      </c>
      <c r="B86" s="102" t="s">
        <v>162</v>
      </c>
    </row>
    <row r="87" spans="1:2" x14ac:dyDescent="0.2">
      <c r="A87" s="57" t="s">
        <v>275</v>
      </c>
      <c r="B87" s="53" t="s">
        <v>276</v>
      </c>
    </row>
    <row r="88" spans="1:2" ht="33" x14ac:dyDescent="0.2">
      <c r="A88" s="57" t="s">
        <v>277</v>
      </c>
      <c r="B88" s="53" t="s">
        <v>165</v>
      </c>
    </row>
    <row r="89" spans="1:2" ht="27" customHeight="1" x14ac:dyDescent="0.2">
      <c r="A89" s="57" t="s">
        <v>278</v>
      </c>
      <c r="B89" s="53" t="s">
        <v>197</v>
      </c>
    </row>
    <row r="90" spans="1:2" x14ac:dyDescent="0.2">
      <c r="A90" s="57" t="s">
        <v>279</v>
      </c>
      <c r="B90" s="53" t="s">
        <v>280</v>
      </c>
    </row>
    <row r="91" spans="1:2" x14ac:dyDescent="0.2">
      <c r="A91" s="57" t="s">
        <v>281</v>
      </c>
      <c r="B91" s="53" t="s">
        <v>563</v>
      </c>
    </row>
    <row r="92" spans="1:2" ht="33" x14ac:dyDescent="0.2">
      <c r="A92" s="57" t="s">
        <v>282</v>
      </c>
      <c r="B92" s="53" t="s">
        <v>152</v>
      </c>
    </row>
    <row r="93" spans="1:2" ht="60.75" customHeight="1" x14ac:dyDescent="0.2">
      <c r="A93" s="57" t="s">
        <v>283</v>
      </c>
      <c r="B93" s="53" t="s">
        <v>558</v>
      </c>
    </row>
    <row r="94" spans="1:2" ht="97.5" customHeight="1" x14ac:dyDescent="0.2">
      <c r="A94" s="57" t="s">
        <v>284</v>
      </c>
      <c r="B94" s="53" t="s">
        <v>543</v>
      </c>
    </row>
    <row r="95" spans="1:2" x14ac:dyDescent="0.2">
      <c r="A95" s="57" t="s">
        <v>285</v>
      </c>
      <c r="B95" s="53" t="s">
        <v>286</v>
      </c>
    </row>
    <row r="96" spans="1:2" ht="33" x14ac:dyDescent="0.2">
      <c r="A96" s="57" t="s">
        <v>287</v>
      </c>
      <c r="B96" s="53" t="s">
        <v>153</v>
      </c>
    </row>
    <row r="97" spans="1:3" ht="153" customHeight="1" x14ac:dyDescent="0.2">
      <c r="A97" s="95" t="s">
        <v>288</v>
      </c>
      <c r="B97" s="92" t="s">
        <v>500</v>
      </c>
    </row>
    <row r="98" spans="1:3" ht="49.5" x14ac:dyDescent="0.2">
      <c r="A98" s="8" t="s">
        <v>642</v>
      </c>
      <c r="B98" s="97" t="s">
        <v>446</v>
      </c>
    </row>
    <row r="99" spans="1:3" ht="25.5" customHeight="1" x14ac:dyDescent="0.2">
      <c r="A99" s="8" t="s">
        <v>643</v>
      </c>
      <c r="B99" s="97" t="s">
        <v>197</v>
      </c>
    </row>
    <row r="100" spans="1:3" ht="80.25" customHeight="1" x14ac:dyDescent="0.2">
      <c r="A100" s="8" t="s">
        <v>644</v>
      </c>
      <c r="B100" s="97" t="s">
        <v>544</v>
      </c>
    </row>
    <row r="101" spans="1:3" ht="40.5" customHeight="1" x14ac:dyDescent="0.2">
      <c r="A101" s="96" t="s">
        <v>289</v>
      </c>
      <c r="B101" s="102" t="s">
        <v>571</v>
      </c>
    </row>
    <row r="102" spans="1:3" ht="52.5" customHeight="1" x14ac:dyDescent="0.2">
      <c r="A102" s="57" t="s">
        <v>290</v>
      </c>
      <c r="B102" s="53" t="s">
        <v>291</v>
      </c>
    </row>
    <row r="103" spans="1:3" ht="33" x14ac:dyDescent="0.2">
      <c r="A103" s="57" t="s">
        <v>292</v>
      </c>
      <c r="B103" s="53" t="s">
        <v>602</v>
      </c>
    </row>
    <row r="104" spans="1:3" ht="33" x14ac:dyDescent="0.2">
      <c r="A104" s="57" t="s">
        <v>293</v>
      </c>
      <c r="B104" s="53" t="s">
        <v>294</v>
      </c>
    </row>
    <row r="105" spans="1:3" s="43" customFormat="1" ht="36" customHeight="1" x14ac:dyDescent="0.2">
      <c r="A105" s="61" t="s">
        <v>481</v>
      </c>
      <c r="B105" s="50" t="s">
        <v>482</v>
      </c>
    </row>
    <row r="106" spans="1:3" s="43" customFormat="1" ht="40.5" customHeight="1" x14ac:dyDescent="0.2">
      <c r="A106" s="61" t="s">
        <v>683</v>
      </c>
      <c r="B106" s="50" t="s">
        <v>684</v>
      </c>
    </row>
    <row r="107" spans="1:3" ht="49.5" x14ac:dyDescent="0.2">
      <c r="A107" s="57" t="s">
        <v>483</v>
      </c>
      <c r="B107" s="99" t="s">
        <v>507</v>
      </c>
    </row>
    <row r="108" spans="1:3" ht="49.5" x14ac:dyDescent="0.2">
      <c r="A108" s="95" t="s">
        <v>498</v>
      </c>
      <c r="B108" s="112" t="s">
        <v>508</v>
      </c>
    </row>
    <row r="109" spans="1:3" ht="68.25" customHeight="1" x14ac:dyDescent="0.2">
      <c r="A109" s="8" t="s">
        <v>616</v>
      </c>
      <c r="B109" s="97" t="s">
        <v>618</v>
      </c>
      <c r="C109" s="130"/>
    </row>
    <row r="110" spans="1:3" ht="60.75" customHeight="1" x14ac:dyDescent="0.2">
      <c r="A110" s="8" t="s">
        <v>617</v>
      </c>
      <c r="B110" s="97" t="s">
        <v>619</v>
      </c>
    </row>
    <row r="111" spans="1:3" ht="41.25" customHeight="1" x14ac:dyDescent="0.2">
      <c r="A111" s="96" t="s">
        <v>295</v>
      </c>
      <c r="B111" s="102" t="s">
        <v>639</v>
      </c>
    </row>
    <row r="112" spans="1:3" ht="33" x14ac:dyDescent="0.2">
      <c r="A112" s="57" t="s">
        <v>296</v>
      </c>
      <c r="B112" s="53" t="s">
        <v>166</v>
      </c>
    </row>
    <row r="113" spans="1:2" x14ac:dyDescent="0.2">
      <c r="A113" s="57" t="s">
        <v>297</v>
      </c>
      <c r="B113" s="53" t="s">
        <v>154</v>
      </c>
    </row>
    <row r="114" spans="1:2" ht="33" x14ac:dyDescent="0.2">
      <c r="A114" s="57" t="s">
        <v>298</v>
      </c>
      <c r="B114" s="53" t="s">
        <v>167</v>
      </c>
    </row>
    <row r="115" spans="1:2" x14ac:dyDescent="0.2">
      <c r="A115" s="57" t="s">
        <v>299</v>
      </c>
      <c r="B115" s="53" t="s">
        <v>562</v>
      </c>
    </row>
    <row r="116" spans="1:2" ht="33" x14ac:dyDescent="0.2">
      <c r="A116" s="57" t="s">
        <v>300</v>
      </c>
      <c r="B116" s="53" t="s">
        <v>447</v>
      </c>
    </row>
    <row r="117" spans="1:2" ht="33" x14ac:dyDescent="0.2">
      <c r="A117" s="57" t="s">
        <v>301</v>
      </c>
      <c r="B117" s="53" t="s">
        <v>545</v>
      </c>
    </row>
    <row r="118" spans="1:2" ht="66" x14ac:dyDescent="0.2">
      <c r="A118" s="57" t="s">
        <v>302</v>
      </c>
      <c r="B118" s="53" t="s">
        <v>582</v>
      </c>
    </row>
    <row r="119" spans="1:2" x14ac:dyDescent="0.2">
      <c r="A119" s="57" t="s">
        <v>303</v>
      </c>
      <c r="B119" s="53" t="s">
        <v>304</v>
      </c>
    </row>
    <row r="120" spans="1:2" x14ac:dyDescent="0.2">
      <c r="A120" s="57" t="s">
        <v>305</v>
      </c>
      <c r="B120" s="53" t="s">
        <v>177</v>
      </c>
    </row>
    <row r="121" spans="1:2" x14ac:dyDescent="0.2">
      <c r="A121" s="57" t="s">
        <v>306</v>
      </c>
      <c r="B121" s="53" t="s">
        <v>155</v>
      </c>
    </row>
    <row r="122" spans="1:2" ht="36.75" customHeight="1" x14ac:dyDescent="0.2">
      <c r="A122" s="57" t="s">
        <v>307</v>
      </c>
      <c r="B122" s="53" t="s">
        <v>308</v>
      </c>
    </row>
    <row r="123" spans="1:2" ht="38.25" customHeight="1" x14ac:dyDescent="0.2">
      <c r="A123" s="57" t="s">
        <v>309</v>
      </c>
      <c r="B123" s="53" t="s">
        <v>132</v>
      </c>
    </row>
    <row r="124" spans="1:2" ht="72" customHeight="1" x14ac:dyDescent="0.2">
      <c r="A124" s="57" t="s">
        <v>310</v>
      </c>
      <c r="B124" s="53" t="s">
        <v>0</v>
      </c>
    </row>
    <row r="125" spans="1:2" ht="76.5" customHeight="1" x14ac:dyDescent="0.2">
      <c r="A125" s="57" t="s">
        <v>478</v>
      </c>
      <c r="B125" s="53" t="s">
        <v>546</v>
      </c>
    </row>
    <row r="126" spans="1:2" ht="154.5" customHeight="1" x14ac:dyDescent="0.2">
      <c r="A126" s="57" t="s">
        <v>468</v>
      </c>
      <c r="B126" s="53" t="s">
        <v>654</v>
      </c>
    </row>
    <row r="127" spans="1:2" s="57" customFormat="1" ht="54.75" customHeight="1" x14ac:dyDescent="0.2">
      <c r="A127" s="114" t="s">
        <v>710</v>
      </c>
      <c r="B127" s="115" t="s">
        <v>711</v>
      </c>
    </row>
    <row r="128" spans="1:2" s="90" customFormat="1" ht="54.75" customHeight="1" x14ac:dyDescent="0.2">
      <c r="A128" s="114" t="s">
        <v>714</v>
      </c>
      <c r="B128" s="115" t="s">
        <v>715</v>
      </c>
    </row>
    <row r="129" spans="1:2" s="140" customFormat="1" ht="75" customHeight="1" x14ac:dyDescent="0.2">
      <c r="A129" s="114" t="s">
        <v>712</v>
      </c>
      <c r="B129" s="115" t="s">
        <v>716</v>
      </c>
    </row>
    <row r="130" spans="1:2" s="140" customFormat="1" ht="57" customHeight="1" x14ac:dyDescent="0.2">
      <c r="A130" s="114" t="s">
        <v>713</v>
      </c>
      <c r="B130" s="115" t="s">
        <v>717</v>
      </c>
    </row>
    <row r="131" spans="1:2" s="140" customFormat="1" ht="57" customHeight="1" x14ac:dyDescent="0.2">
      <c r="A131" s="114" t="s">
        <v>718</v>
      </c>
      <c r="B131" s="115" t="s">
        <v>721</v>
      </c>
    </row>
    <row r="132" spans="1:2" s="141" customFormat="1" ht="57" customHeight="1" x14ac:dyDescent="0.2">
      <c r="A132" s="114" t="s">
        <v>726</v>
      </c>
      <c r="B132" s="115" t="s">
        <v>727</v>
      </c>
    </row>
    <row r="133" spans="1:2" s="140" customFormat="1" ht="57" customHeight="1" x14ac:dyDescent="0.2">
      <c r="A133" s="114" t="s">
        <v>719</v>
      </c>
      <c r="B133" s="115" t="s">
        <v>722</v>
      </c>
    </row>
    <row r="134" spans="1:2" s="140" customFormat="1" ht="57" customHeight="1" x14ac:dyDescent="0.2">
      <c r="A134" s="114" t="s">
        <v>720</v>
      </c>
      <c r="B134" s="115" t="s">
        <v>723</v>
      </c>
    </row>
    <row r="135" spans="1:2" x14ac:dyDescent="0.2">
      <c r="A135" s="57" t="s">
        <v>311</v>
      </c>
      <c r="B135" s="53" t="s">
        <v>572</v>
      </c>
    </row>
    <row r="136" spans="1:2" ht="49.5" x14ac:dyDescent="0.2">
      <c r="A136" s="57" t="s">
        <v>312</v>
      </c>
      <c r="B136" s="53" t="s">
        <v>448</v>
      </c>
    </row>
    <row r="137" spans="1:2" ht="60.75" customHeight="1" x14ac:dyDescent="0.2">
      <c r="A137" s="57" t="s">
        <v>484</v>
      </c>
      <c r="B137" s="53" t="s">
        <v>485</v>
      </c>
    </row>
    <row r="138" spans="1:2" ht="74.25" customHeight="1" x14ac:dyDescent="0.2">
      <c r="A138" s="57" t="s">
        <v>496</v>
      </c>
      <c r="B138" s="53" t="s">
        <v>583</v>
      </c>
    </row>
    <row r="139" spans="1:2" ht="66" x14ac:dyDescent="0.2">
      <c r="A139" s="57" t="s">
        <v>486</v>
      </c>
      <c r="B139" s="53" t="s">
        <v>547</v>
      </c>
    </row>
    <row r="140" spans="1:2" ht="33" x14ac:dyDescent="0.2">
      <c r="A140" s="57" t="s">
        <v>313</v>
      </c>
      <c r="B140" s="53" t="s">
        <v>1</v>
      </c>
    </row>
    <row r="141" spans="1:2" ht="33" x14ac:dyDescent="0.2">
      <c r="A141" s="57" t="s">
        <v>314</v>
      </c>
      <c r="B141" s="53" t="s">
        <v>548</v>
      </c>
    </row>
    <row r="142" spans="1:2" ht="49.5" x14ac:dyDescent="0.2">
      <c r="A142" s="57" t="s">
        <v>315</v>
      </c>
      <c r="B142" s="53" t="s">
        <v>158</v>
      </c>
    </row>
    <row r="143" spans="1:2" ht="33" x14ac:dyDescent="0.2">
      <c r="A143" s="57" t="s">
        <v>316</v>
      </c>
      <c r="B143" s="53" t="s">
        <v>159</v>
      </c>
    </row>
    <row r="144" spans="1:2" ht="52.5" customHeight="1" x14ac:dyDescent="0.2">
      <c r="A144" s="57" t="s">
        <v>317</v>
      </c>
      <c r="B144" s="53" t="s">
        <v>549</v>
      </c>
    </row>
    <row r="145" spans="1:2" ht="49.5" x14ac:dyDescent="0.2">
      <c r="A145" s="57" t="s">
        <v>318</v>
      </c>
      <c r="B145" s="53" t="s">
        <v>160</v>
      </c>
    </row>
    <row r="146" spans="1:2" ht="33" x14ac:dyDescent="0.2">
      <c r="A146" s="57" t="s">
        <v>319</v>
      </c>
      <c r="B146" s="53" t="s">
        <v>2</v>
      </c>
    </row>
    <row r="147" spans="1:2" ht="33" x14ac:dyDescent="0.2">
      <c r="A147" s="57" t="s">
        <v>320</v>
      </c>
      <c r="B147" s="53" t="s">
        <v>509</v>
      </c>
    </row>
    <row r="148" spans="1:2" ht="49.5" x14ac:dyDescent="0.2">
      <c r="A148" s="57" t="s">
        <v>321</v>
      </c>
      <c r="B148" s="53" t="s">
        <v>510</v>
      </c>
    </row>
    <row r="149" spans="1:2" ht="33" x14ac:dyDescent="0.2">
      <c r="A149" s="57" t="s">
        <v>322</v>
      </c>
      <c r="B149" s="53" t="s">
        <v>181</v>
      </c>
    </row>
    <row r="150" spans="1:2" ht="33" x14ac:dyDescent="0.2">
      <c r="A150" s="57" t="s">
        <v>323</v>
      </c>
      <c r="B150" s="53" t="s">
        <v>511</v>
      </c>
    </row>
    <row r="151" spans="1:2" ht="49.5" x14ac:dyDescent="0.2">
      <c r="A151" s="57" t="s">
        <v>324</v>
      </c>
      <c r="B151" s="53" t="s">
        <v>512</v>
      </c>
    </row>
    <row r="152" spans="1:2" ht="33" x14ac:dyDescent="0.2">
      <c r="A152" s="57" t="s">
        <v>325</v>
      </c>
      <c r="B152" s="53" t="s">
        <v>131</v>
      </c>
    </row>
    <row r="153" spans="1:2" x14ac:dyDescent="0.2">
      <c r="A153" s="57" t="s">
        <v>326</v>
      </c>
      <c r="B153" s="53" t="s">
        <v>3</v>
      </c>
    </row>
    <row r="154" spans="1:2" ht="66" x14ac:dyDescent="0.2">
      <c r="A154" s="57" t="s">
        <v>573</v>
      </c>
      <c r="B154" s="53" t="s">
        <v>469</v>
      </c>
    </row>
    <row r="155" spans="1:2" ht="139.5" customHeight="1" x14ac:dyDescent="0.2">
      <c r="A155" s="57" t="s">
        <v>574</v>
      </c>
      <c r="B155" s="53" t="s">
        <v>655</v>
      </c>
    </row>
    <row r="156" spans="1:2" ht="40.5" customHeight="1" x14ac:dyDescent="0.2">
      <c r="A156" s="57" t="s">
        <v>575</v>
      </c>
      <c r="B156" s="53" t="s">
        <v>576</v>
      </c>
    </row>
    <row r="157" spans="1:2" ht="33" x14ac:dyDescent="0.2">
      <c r="A157" s="57" t="s">
        <v>327</v>
      </c>
      <c r="B157" s="53" t="s">
        <v>328</v>
      </c>
    </row>
    <row r="158" spans="1:2" ht="39" customHeight="1" x14ac:dyDescent="0.2">
      <c r="A158" s="57" t="s">
        <v>470</v>
      </c>
      <c r="B158" s="53" t="s">
        <v>471</v>
      </c>
    </row>
    <row r="159" spans="1:2" s="43" customFormat="1" ht="90.75" customHeight="1" x14ac:dyDescent="0.2">
      <c r="A159" s="61" t="s">
        <v>472</v>
      </c>
      <c r="B159" s="50" t="s">
        <v>513</v>
      </c>
    </row>
    <row r="160" spans="1:2" ht="71.25" customHeight="1" x14ac:dyDescent="0.2">
      <c r="A160" s="57" t="s">
        <v>473</v>
      </c>
      <c r="B160" s="53" t="s">
        <v>663</v>
      </c>
    </row>
    <row r="161" spans="1:2" s="127" customFormat="1" ht="74.25" customHeight="1" x14ac:dyDescent="0.2">
      <c r="A161" s="57" t="s">
        <v>661</v>
      </c>
      <c r="B161" s="53" t="s">
        <v>662</v>
      </c>
    </row>
    <row r="162" spans="1:2" x14ac:dyDescent="0.2">
      <c r="A162" s="57" t="s">
        <v>329</v>
      </c>
      <c r="B162" s="53" t="s">
        <v>4</v>
      </c>
    </row>
    <row r="163" spans="1:2" ht="33" x14ac:dyDescent="0.2">
      <c r="A163" s="57" t="s">
        <v>330</v>
      </c>
      <c r="B163" s="53" t="s">
        <v>5</v>
      </c>
    </row>
    <row r="164" spans="1:2" s="43" customFormat="1" ht="37.5" customHeight="1" x14ac:dyDescent="0.2">
      <c r="A164" s="61" t="s">
        <v>331</v>
      </c>
      <c r="B164" s="50" t="s">
        <v>696</v>
      </c>
    </row>
    <row r="165" spans="1:2" s="43" customFormat="1" ht="37.5" customHeight="1" x14ac:dyDescent="0.2">
      <c r="A165" s="114" t="s">
        <v>724</v>
      </c>
      <c r="B165" s="115" t="s">
        <v>725</v>
      </c>
    </row>
    <row r="166" spans="1:2" ht="110.25" customHeight="1" x14ac:dyDescent="0.2">
      <c r="A166" s="57" t="s">
        <v>531</v>
      </c>
      <c r="B166" s="131" t="s">
        <v>550</v>
      </c>
    </row>
    <row r="167" spans="1:2" s="140" customFormat="1" ht="110.25" customHeight="1" x14ac:dyDescent="0.2">
      <c r="A167" s="114" t="s">
        <v>708</v>
      </c>
      <c r="B167" s="142" t="s">
        <v>709</v>
      </c>
    </row>
    <row r="168" spans="1:2" ht="33.75" customHeight="1" x14ac:dyDescent="0.2">
      <c r="A168" s="57" t="s">
        <v>332</v>
      </c>
      <c r="B168" s="53" t="s">
        <v>6</v>
      </c>
    </row>
    <row r="169" spans="1:2" ht="33" x14ac:dyDescent="0.2">
      <c r="A169" s="57" t="s">
        <v>333</v>
      </c>
      <c r="B169" s="53" t="s">
        <v>7</v>
      </c>
    </row>
    <row r="170" spans="1:2" ht="61.5" customHeight="1" x14ac:dyDescent="0.2">
      <c r="A170" s="57" t="s">
        <v>334</v>
      </c>
      <c r="B170" s="53" t="s">
        <v>577</v>
      </c>
    </row>
    <row r="171" spans="1:2" ht="33" x14ac:dyDescent="0.2">
      <c r="A171" s="57" t="s">
        <v>335</v>
      </c>
      <c r="B171" s="53" t="s">
        <v>8</v>
      </c>
    </row>
    <row r="172" spans="1:2" ht="33" x14ac:dyDescent="0.2">
      <c r="A172" s="57" t="s">
        <v>336</v>
      </c>
      <c r="B172" s="53" t="s">
        <v>449</v>
      </c>
    </row>
    <row r="173" spans="1:2" ht="36.75" customHeight="1" x14ac:dyDescent="0.2">
      <c r="A173" s="57" t="s">
        <v>515</v>
      </c>
      <c r="B173" s="53" t="s">
        <v>524</v>
      </c>
    </row>
    <row r="174" spans="1:2" ht="31.5" customHeight="1" x14ac:dyDescent="0.2">
      <c r="A174" s="57" t="s">
        <v>522</v>
      </c>
      <c r="B174" s="53" t="s">
        <v>523</v>
      </c>
    </row>
    <row r="175" spans="1:2" ht="33.75" customHeight="1" x14ac:dyDescent="0.2">
      <c r="A175" s="57" t="s">
        <v>337</v>
      </c>
      <c r="B175" s="53" t="s">
        <v>338</v>
      </c>
    </row>
    <row r="176" spans="1:2" ht="33" x14ac:dyDescent="0.2">
      <c r="A176" s="57" t="s">
        <v>450</v>
      </c>
      <c r="B176" s="53" t="s">
        <v>451</v>
      </c>
    </row>
    <row r="177" spans="1:2" ht="33" x14ac:dyDescent="0.2">
      <c r="A177" s="57" t="s">
        <v>339</v>
      </c>
      <c r="B177" s="53" t="s">
        <v>168</v>
      </c>
    </row>
    <row r="178" spans="1:2" x14ac:dyDescent="0.2">
      <c r="A178" s="57" t="s">
        <v>340</v>
      </c>
      <c r="B178" s="53" t="s">
        <v>197</v>
      </c>
    </row>
    <row r="179" spans="1:2" ht="39.75" customHeight="1" x14ac:dyDescent="0.2">
      <c r="A179" s="57" t="s">
        <v>341</v>
      </c>
      <c r="B179" s="53" t="s">
        <v>578</v>
      </c>
    </row>
    <row r="180" spans="1:2" ht="33" x14ac:dyDescent="0.2">
      <c r="A180" s="57" t="s">
        <v>354</v>
      </c>
      <c r="B180" s="53" t="s">
        <v>169</v>
      </c>
    </row>
    <row r="181" spans="1:2" x14ac:dyDescent="0.2">
      <c r="A181" s="57" t="s">
        <v>355</v>
      </c>
      <c r="B181" s="53" t="s">
        <v>197</v>
      </c>
    </row>
    <row r="182" spans="1:2" x14ac:dyDescent="0.2">
      <c r="A182" s="57" t="s">
        <v>342</v>
      </c>
      <c r="B182" s="53" t="s">
        <v>9</v>
      </c>
    </row>
    <row r="183" spans="1:2" ht="33" x14ac:dyDescent="0.2">
      <c r="A183" s="57" t="s">
        <v>343</v>
      </c>
      <c r="B183" s="53" t="s">
        <v>10</v>
      </c>
    </row>
    <row r="184" spans="1:2" x14ac:dyDescent="0.2">
      <c r="A184" s="57" t="s">
        <v>344</v>
      </c>
      <c r="B184" s="53" t="s">
        <v>345</v>
      </c>
    </row>
    <row r="185" spans="1:2" ht="33" x14ac:dyDescent="0.2">
      <c r="A185" s="57" t="s">
        <v>640</v>
      </c>
      <c r="B185" s="53" t="s">
        <v>641</v>
      </c>
    </row>
    <row r="186" spans="1:2" ht="42.75" customHeight="1" x14ac:dyDescent="0.2">
      <c r="A186" s="57" t="s">
        <v>346</v>
      </c>
      <c r="B186" s="53" t="s">
        <v>579</v>
      </c>
    </row>
    <row r="187" spans="1:2" ht="58.5" customHeight="1" x14ac:dyDescent="0.2">
      <c r="A187" s="57" t="s">
        <v>533</v>
      </c>
      <c r="B187" s="53" t="s">
        <v>534</v>
      </c>
    </row>
    <row r="188" spans="1:2" ht="33" x14ac:dyDescent="0.2">
      <c r="A188" s="57" t="s">
        <v>347</v>
      </c>
      <c r="B188" s="53" t="s">
        <v>11</v>
      </c>
    </row>
    <row r="189" spans="1:2" s="43" customFormat="1" ht="43.5" customHeight="1" x14ac:dyDescent="0.2">
      <c r="A189" s="61" t="s">
        <v>487</v>
      </c>
      <c r="B189" s="50" t="s">
        <v>488</v>
      </c>
    </row>
    <row r="190" spans="1:2" s="43" customFormat="1" ht="50.25" customHeight="1" x14ac:dyDescent="0.2">
      <c r="A190" s="61" t="s">
        <v>475</v>
      </c>
      <c r="B190" s="50" t="s">
        <v>551</v>
      </c>
    </row>
    <row r="191" spans="1:2" ht="69.75" customHeight="1" x14ac:dyDescent="0.2">
      <c r="A191" s="57" t="s">
        <v>348</v>
      </c>
      <c r="B191" s="53" t="s">
        <v>476</v>
      </c>
    </row>
    <row r="192" spans="1:2" ht="91.5" customHeight="1" x14ac:dyDescent="0.2">
      <c r="A192" s="95" t="s">
        <v>349</v>
      </c>
      <c r="B192" s="92" t="s">
        <v>552</v>
      </c>
    </row>
    <row r="193" spans="1:2" ht="52.5" customHeight="1" x14ac:dyDescent="0.2">
      <c r="A193" s="57" t="s">
        <v>584</v>
      </c>
      <c r="B193" s="53" t="s">
        <v>514</v>
      </c>
    </row>
    <row r="194" spans="1:2" ht="49.5" x14ac:dyDescent="0.2">
      <c r="A194" s="96" t="s">
        <v>529</v>
      </c>
      <c r="B194" s="102" t="s">
        <v>530</v>
      </c>
    </row>
    <row r="195" spans="1:2" ht="65.25" customHeight="1" x14ac:dyDescent="0.2">
      <c r="A195" s="57" t="s">
        <v>527</v>
      </c>
      <c r="B195" s="99" t="s">
        <v>528</v>
      </c>
    </row>
    <row r="196" spans="1:2" x14ac:dyDescent="0.2">
      <c r="A196" s="57" t="s">
        <v>350</v>
      </c>
      <c r="B196" s="53" t="s">
        <v>12</v>
      </c>
    </row>
    <row r="197" spans="1:2" x14ac:dyDescent="0.2">
      <c r="A197" s="57" t="s">
        <v>351</v>
      </c>
      <c r="B197" s="53" t="s">
        <v>13</v>
      </c>
    </row>
    <row r="198" spans="1:2" ht="33" x14ac:dyDescent="0.2">
      <c r="A198" s="57" t="s">
        <v>352</v>
      </c>
      <c r="B198" s="53" t="s">
        <v>14</v>
      </c>
    </row>
    <row r="199" spans="1:2" ht="33" x14ac:dyDescent="0.2">
      <c r="A199" s="57" t="s">
        <v>353</v>
      </c>
      <c r="B199" s="53" t="s">
        <v>180</v>
      </c>
    </row>
    <row r="200" spans="1:2" ht="33" x14ac:dyDescent="0.2">
      <c r="A200" s="57" t="s">
        <v>452</v>
      </c>
      <c r="B200" s="53" t="s">
        <v>474</v>
      </c>
    </row>
    <row r="201" spans="1:2" s="43" customFormat="1" ht="49.5" x14ac:dyDescent="0.2">
      <c r="A201" s="61" t="s">
        <v>685</v>
      </c>
      <c r="B201" s="50" t="s">
        <v>686</v>
      </c>
    </row>
    <row r="202" spans="1:2" ht="33" x14ac:dyDescent="0.2">
      <c r="A202" s="57" t="s">
        <v>356</v>
      </c>
      <c r="B202" s="53" t="s">
        <v>453</v>
      </c>
    </row>
    <row r="203" spans="1:2" ht="33" x14ac:dyDescent="0.2">
      <c r="A203" s="57" t="s">
        <v>357</v>
      </c>
      <c r="B203" s="53" t="s">
        <v>15</v>
      </c>
    </row>
    <row r="204" spans="1:2" ht="33" x14ac:dyDescent="0.2">
      <c r="A204" s="57" t="s">
        <v>358</v>
      </c>
      <c r="B204" s="53" t="s">
        <v>16</v>
      </c>
    </row>
    <row r="205" spans="1:2" ht="33" x14ac:dyDescent="0.2">
      <c r="A205" s="57" t="s">
        <v>359</v>
      </c>
      <c r="B205" s="53" t="s">
        <v>17</v>
      </c>
    </row>
    <row r="206" spans="1:2" ht="33" x14ac:dyDescent="0.2">
      <c r="A206" s="57" t="s">
        <v>360</v>
      </c>
      <c r="B206" s="53" t="s">
        <v>170</v>
      </c>
    </row>
    <row r="207" spans="1:2" ht="24" customHeight="1" x14ac:dyDescent="0.2">
      <c r="A207" s="57" t="s">
        <v>361</v>
      </c>
      <c r="B207" s="53" t="s">
        <v>197</v>
      </c>
    </row>
    <row r="208" spans="1:2" ht="49.5" x14ac:dyDescent="0.2">
      <c r="A208" s="57" t="s">
        <v>362</v>
      </c>
      <c r="B208" s="53" t="s">
        <v>603</v>
      </c>
    </row>
    <row r="209" spans="1:3" x14ac:dyDescent="0.2">
      <c r="A209" s="57" t="s">
        <v>363</v>
      </c>
      <c r="B209" s="53" t="s">
        <v>171</v>
      </c>
    </row>
    <row r="210" spans="1:3" x14ac:dyDescent="0.2">
      <c r="A210" s="57" t="s">
        <v>364</v>
      </c>
      <c r="B210" s="53" t="s">
        <v>133</v>
      </c>
    </row>
    <row r="211" spans="1:3" ht="39" customHeight="1" x14ac:dyDescent="0.2">
      <c r="A211" s="57" t="s">
        <v>425</v>
      </c>
      <c r="B211" s="92" t="s">
        <v>580</v>
      </c>
    </row>
    <row r="212" spans="1:3" ht="40.5" customHeight="1" x14ac:dyDescent="0.2">
      <c r="A212" s="119" t="s">
        <v>611</v>
      </c>
      <c r="B212" s="97" t="s">
        <v>649</v>
      </c>
    </row>
    <row r="213" spans="1:3" ht="25.5" customHeight="1" x14ac:dyDescent="0.2">
      <c r="A213" s="120" t="s">
        <v>479</v>
      </c>
      <c r="B213" s="97" t="s">
        <v>650</v>
      </c>
    </row>
    <row r="214" spans="1:3" ht="45" customHeight="1" x14ac:dyDescent="0.2">
      <c r="A214" s="136" t="s">
        <v>647</v>
      </c>
      <c r="B214" s="97" t="s">
        <v>651</v>
      </c>
      <c r="C214" s="43"/>
    </row>
    <row r="215" spans="1:3" s="43" customFormat="1" ht="59.25" customHeight="1" x14ac:dyDescent="0.2">
      <c r="A215" s="145" t="s">
        <v>689</v>
      </c>
      <c r="B215" s="144" t="s">
        <v>694</v>
      </c>
    </row>
    <row r="216" spans="1:3" ht="68.25" customHeight="1" x14ac:dyDescent="0.2">
      <c r="A216" s="117" t="s">
        <v>620</v>
      </c>
      <c r="B216" s="121" t="s">
        <v>622</v>
      </c>
    </row>
    <row r="217" spans="1:3" ht="42" customHeight="1" x14ac:dyDescent="0.2">
      <c r="A217" s="117" t="s">
        <v>621</v>
      </c>
      <c r="B217" s="97" t="s">
        <v>629</v>
      </c>
    </row>
    <row r="218" spans="1:3" s="43" customFormat="1" ht="43.5" customHeight="1" x14ac:dyDescent="0.2">
      <c r="A218" s="143" t="s">
        <v>365</v>
      </c>
      <c r="B218" s="144" t="s">
        <v>551</v>
      </c>
    </row>
    <row r="219" spans="1:3" ht="57" customHeight="1" x14ac:dyDescent="0.2">
      <c r="A219" s="95" t="s">
        <v>480</v>
      </c>
      <c r="B219" s="97" t="s">
        <v>553</v>
      </c>
    </row>
    <row r="220" spans="1:3" x14ac:dyDescent="0.2">
      <c r="A220" s="57" t="s">
        <v>607</v>
      </c>
      <c r="B220" s="53" t="s">
        <v>608</v>
      </c>
    </row>
    <row r="221" spans="1:3" ht="36.75" customHeight="1" x14ac:dyDescent="0.2">
      <c r="A221" s="57" t="s">
        <v>610</v>
      </c>
      <c r="B221" s="53" t="s">
        <v>183</v>
      </c>
    </row>
    <row r="222" spans="1:3" ht="19.5" customHeight="1" x14ac:dyDescent="0.2">
      <c r="A222" s="57" t="s">
        <v>612</v>
      </c>
      <c r="B222" s="53" t="s">
        <v>613</v>
      </c>
    </row>
    <row r="223" spans="1:3" s="151" customFormat="1" ht="19.5" customHeight="1" x14ac:dyDescent="0.2">
      <c r="A223" s="57" t="s">
        <v>736</v>
      </c>
      <c r="B223" s="92" t="s">
        <v>738</v>
      </c>
    </row>
    <row r="224" spans="1:3" s="151" customFormat="1" ht="19.5" customHeight="1" x14ac:dyDescent="0.2">
      <c r="A224" s="57" t="s">
        <v>737</v>
      </c>
      <c r="B224" s="92" t="s">
        <v>739</v>
      </c>
    </row>
    <row r="225" spans="1:2" ht="18.75" customHeight="1" x14ac:dyDescent="0.2">
      <c r="A225" s="57" t="s">
        <v>366</v>
      </c>
      <c r="B225" s="53" t="s">
        <v>172</v>
      </c>
    </row>
    <row r="226" spans="1:2" ht="39" customHeight="1" x14ac:dyDescent="0.2">
      <c r="A226" s="57" t="s">
        <v>559</v>
      </c>
      <c r="B226" s="53" t="s">
        <v>560</v>
      </c>
    </row>
    <row r="227" spans="1:2" ht="35.25" customHeight="1" x14ac:dyDescent="0.2">
      <c r="A227" s="95" t="s">
        <v>502</v>
      </c>
      <c r="B227" s="92" t="s">
        <v>581</v>
      </c>
    </row>
    <row r="228" spans="1:2" s="43" customFormat="1" ht="37.5" customHeight="1" x14ac:dyDescent="0.2">
      <c r="A228" s="61" t="s">
        <v>702</v>
      </c>
      <c r="B228" s="50" t="s">
        <v>703</v>
      </c>
    </row>
    <row r="229" spans="1:2" s="43" customFormat="1" ht="43.5" customHeight="1" x14ac:dyDescent="0.2">
      <c r="A229" s="61" t="s">
        <v>704</v>
      </c>
      <c r="B229" s="50" t="s">
        <v>705</v>
      </c>
    </row>
    <row r="230" spans="1:2" ht="40.5" customHeight="1" x14ac:dyDescent="0.2">
      <c r="A230" s="96" t="s">
        <v>503</v>
      </c>
      <c r="B230" s="111" t="s">
        <v>551</v>
      </c>
    </row>
    <row r="231" spans="1:2" ht="21" customHeight="1" x14ac:dyDescent="0.2">
      <c r="A231" s="57" t="s">
        <v>367</v>
      </c>
      <c r="B231" s="53" t="s">
        <v>368</v>
      </c>
    </row>
    <row r="232" spans="1:2" ht="41.25" customHeight="1" x14ac:dyDescent="0.2">
      <c r="A232" s="57" t="s">
        <v>369</v>
      </c>
      <c r="B232" s="53" t="s">
        <v>585</v>
      </c>
    </row>
    <row r="233" spans="1:2" ht="49.5" x14ac:dyDescent="0.2">
      <c r="A233" s="57" t="s">
        <v>454</v>
      </c>
      <c r="B233" s="53" t="s">
        <v>455</v>
      </c>
    </row>
    <row r="234" spans="1:2" ht="49.5" x14ac:dyDescent="0.2">
      <c r="A234" s="57" t="s">
        <v>456</v>
      </c>
      <c r="B234" s="53" t="s">
        <v>457</v>
      </c>
    </row>
    <row r="235" spans="1:2" x14ac:dyDescent="0.2">
      <c r="A235" s="57" t="s">
        <v>370</v>
      </c>
      <c r="B235" s="53" t="s">
        <v>18</v>
      </c>
    </row>
    <row r="236" spans="1:2" ht="33" x14ac:dyDescent="0.2">
      <c r="A236" s="57" t="s">
        <v>371</v>
      </c>
      <c r="B236" s="53" t="s">
        <v>19</v>
      </c>
    </row>
    <row r="237" spans="1:2" x14ac:dyDescent="0.2">
      <c r="A237" s="57" t="s">
        <v>570</v>
      </c>
      <c r="B237" s="53" t="s">
        <v>586</v>
      </c>
    </row>
    <row r="238" spans="1:2" x14ac:dyDescent="0.2">
      <c r="A238" s="57" t="s">
        <v>372</v>
      </c>
      <c r="B238" s="53" t="s">
        <v>373</v>
      </c>
    </row>
    <row r="239" spans="1:2" x14ac:dyDescent="0.2">
      <c r="A239" s="57" t="s">
        <v>374</v>
      </c>
      <c r="B239" s="53" t="s">
        <v>20</v>
      </c>
    </row>
    <row r="240" spans="1:2" x14ac:dyDescent="0.2">
      <c r="A240" s="57" t="s">
        <v>375</v>
      </c>
      <c r="B240" s="53" t="s">
        <v>21</v>
      </c>
    </row>
    <row r="241" spans="1:2" ht="33" x14ac:dyDescent="0.2">
      <c r="A241" s="57" t="s">
        <v>376</v>
      </c>
      <c r="B241" s="53" t="s">
        <v>377</v>
      </c>
    </row>
    <row r="242" spans="1:2" ht="33" x14ac:dyDescent="0.2">
      <c r="A242" s="57" t="s">
        <v>378</v>
      </c>
      <c r="B242" s="53" t="s">
        <v>22</v>
      </c>
    </row>
    <row r="243" spans="1:2" ht="33" x14ac:dyDescent="0.2">
      <c r="A243" s="57" t="s">
        <v>379</v>
      </c>
      <c r="B243" s="53" t="s">
        <v>458</v>
      </c>
    </row>
    <row r="244" spans="1:2" x14ac:dyDescent="0.2">
      <c r="A244" s="57" t="s">
        <v>380</v>
      </c>
      <c r="B244" s="53" t="s">
        <v>173</v>
      </c>
    </row>
    <row r="245" spans="1:2" ht="33" x14ac:dyDescent="0.2">
      <c r="A245" s="57" t="s">
        <v>459</v>
      </c>
      <c r="B245" s="53" t="s">
        <v>460</v>
      </c>
    </row>
    <row r="246" spans="1:2" ht="59.25" customHeight="1" x14ac:dyDescent="0.2">
      <c r="A246" s="95" t="s">
        <v>461</v>
      </c>
      <c r="B246" s="92" t="s">
        <v>609</v>
      </c>
    </row>
    <row r="247" spans="1:2" ht="60.75" customHeight="1" x14ac:dyDescent="0.2">
      <c r="A247" s="8" t="s">
        <v>462</v>
      </c>
      <c r="B247" s="97" t="s">
        <v>624</v>
      </c>
    </row>
    <row r="248" spans="1:2" ht="57" customHeight="1" x14ac:dyDescent="0.2">
      <c r="A248" s="8" t="s">
        <v>463</v>
      </c>
      <c r="B248" s="97" t="s">
        <v>626</v>
      </c>
    </row>
    <row r="249" spans="1:2" ht="45" customHeight="1" x14ac:dyDescent="0.2">
      <c r="A249" s="8" t="s">
        <v>477</v>
      </c>
      <c r="B249" s="97" t="s">
        <v>625</v>
      </c>
    </row>
    <row r="250" spans="1:2" ht="35.25" customHeight="1" x14ac:dyDescent="0.2">
      <c r="A250" s="96" t="s">
        <v>381</v>
      </c>
      <c r="B250" s="102" t="s">
        <v>587</v>
      </c>
    </row>
    <row r="251" spans="1:2" ht="33" x14ac:dyDescent="0.2">
      <c r="A251" s="57" t="s">
        <v>382</v>
      </c>
      <c r="B251" s="53" t="s">
        <v>23</v>
      </c>
    </row>
    <row r="252" spans="1:2" x14ac:dyDescent="0.2">
      <c r="A252" s="57" t="s">
        <v>383</v>
      </c>
      <c r="B252" s="53" t="s">
        <v>24</v>
      </c>
    </row>
    <row r="253" spans="1:2" ht="39.75" customHeight="1" x14ac:dyDescent="0.2">
      <c r="A253" s="57" t="s">
        <v>384</v>
      </c>
      <c r="B253" s="53" t="s">
        <v>588</v>
      </c>
    </row>
    <row r="254" spans="1:2" ht="21" customHeight="1" x14ac:dyDescent="0.2">
      <c r="A254" s="95" t="s">
        <v>385</v>
      </c>
      <c r="B254" s="92" t="s">
        <v>25</v>
      </c>
    </row>
    <row r="255" spans="1:2" ht="39.75" customHeight="1" x14ac:dyDescent="0.2">
      <c r="A255" s="57" t="s">
        <v>589</v>
      </c>
      <c r="B255" s="53" t="s">
        <v>645</v>
      </c>
    </row>
    <row r="256" spans="1:2" ht="21" customHeight="1" x14ac:dyDescent="0.2">
      <c r="A256" s="95" t="s">
        <v>386</v>
      </c>
      <c r="B256" s="92" t="s">
        <v>26</v>
      </c>
    </row>
    <row r="257" spans="1:2" ht="39" customHeight="1" x14ac:dyDescent="0.2">
      <c r="A257" s="57" t="s">
        <v>590</v>
      </c>
      <c r="B257" s="53" t="s">
        <v>591</v>
      </c>
    </row>
    <row r="258" spans="1:2" ht="33" x14ac:dyDescent="0.2">
      <c r="A258" s="57" t="s">
        <v>592</v>
      </c>
      <c r="B258" s="53" t="s">
        <v>593</v>
      </c>
    </row>
    <row r="259" spans="1:2" ht="49.5" x14ac:dyDescent="0.2">
      <c r="A259" s="96" t="s">
        <v>387</v>
      </c>
      <c r="B259" s="102" t="s">
        <v>27</v>
      </c>
    </row>
    <row r="260" spans="1:2" x14ac:dyDescent="0.2">
      <c r="A260" s="95" t="s">
        <v>388</v>
      </c>
      <c r="B260" s="92" t="s">
        <v>28</v>
      </c>
    </row>
    <row r="261" spans="1:2" ht="44.25" customHeight="1" x14ac:dyDescent="0.2">
      <c r="A261" s="57" t="s">
        <v>594</v>
      </c>
      <c r="B261" s="53" t="s">
        <v>595</v>
      </c>
    </row>
    <row r="262" spans="1:2" ht="54.75" customHeight="1" x14ac:dyDescent="0.2">
      <c r="A262" s="57" t="s">
        <v>627</v>
      </c>
      <c r="B262" s="53" t="s">
        <v>628</v>
      </c>
    </row>
    <row r="263" spans="1:2" ht="96" customHeight="1" x14ac:dyDescent="0.2">
      <c r="A263" s="57" t="s">
        <v>596</v>
      </c>
      <c r="B263" s="53" t="s">
        <v>623</v>
      </c>
    </row>
    <row r="264" spans="1:2" ht="49.5" x14ac:dyDescent="0.2">
      <c r="A264" s="96" t="s">
        <v>389</v>
      </c>
      <c r="B264" s="102" t="s">
        <v>597</v>
      </c>
    </row>
    <row r="265" spans="1:2" ht="66" x14ac:dyDescent="0.2">
      <c r="A265" s="57" t="s">
        <v>390</v>
      </c>
      <c r="B265" s="53" t="s">
        <v>175</v>
      </c>
    </row>
    <row r="266" spans="1:2" ht="33" x14ac:dyDescent="0.2">
      <c r="A266" s="57" t="s">
        <v>391</v>
      </c>
      <c r="B266" s="53" t="s">
        <v>174</v>
      </c>
    </row>
    <row r="267" spans="1:2" ht="66" x14ac:dyDescent="0.2">
      <c r="A267" s="57" t="s">
        <v>393</v>
      </c>
      <c r="B267" s="53" t="s">
        <v>392</v>
      </c>
    </row>
    <row r="268" spans="1:2" ht="49.5" x14ac:dyDescent="0.2">
      <c r="A268" s="57" t="s">
        <v>394</v>
      </c>
      <c r="B268" s="53" t="s">
        <v>29</v>
      </c>
    </row>
    <row r="269" spans="1:2" s="43" customFormat="1" x14ac:dyDescent="0.2">
      <c r="A269" s="61" t="s">
        <v>687</v>
      </c>
      <c r="B269" s="50" t="s">
        <v>691</v>
      </c>
    </row>
    <row r="270" spans="1:2" ht="33" x14ac:dyDescent="0.2">
      <c r="A270" s="57" t="s">
        <v>395</v>
      </c>
      <c r="B270" s="53" t="s">
        <v>396</v>
      </c>
    </row>
    <row r="271" spans="1:2" x14ac:dyDescent="0.2">
      <c r="A271" s="57" t="s">
        <v>397</v>
      </c>
      <c r="B271" s="53" t="s">
        <v>30</v>
      </c>
    </row>
    <row r="272" spans="1:2" x14ac:dyDescent="0.2">
      <c r="A272" s="57" t="s">
        <v>516</v>
      </c>
      <c r="B272" s="53" t="s">
        <v>519</v>
      </c>
    </row>
    <row r="273" spans="1:2" x14ac:dyDescent="0.2">
      <c r="A273" s="95" t="s">
        <v>398</v>
      </c>
      <c r="B273" s="92" t="s">
        <v>31</v>
      </c>
    </row>
    <row r="274" spans="1:2" ht="52.5" customHeight="1" x14ac:dyDescent="0.2">
      <c r="A274" s="100" t="s">
        <v>564</v>
      </c>
      <c r="B274" s="98" t="s">
        <v>565</v>
      </c>
    </row>
    <row r="275" spans="1:2" s="127" customFormat="1" ht="27" customHeight="1" x14ac:dyDescent="0.2">
      <c r="A275" s="134" t="s">
        <v>670</v>
      </c>
      <c r="B275" s="135" t="s">
        <v>669</v>
      </c>
    </row>
    <row r="276" spans="1:2" s="127" customFormat="1" ht="39.75" customHeight="1" x14ac:dyDescent="0.2">
      <c r="A276" s="134" t="s">
        <v>666</v>
      </c>
      <c r="B276" s="135" t="s">
        <v>671</v>
      </c>
    </row>
    <row r="277" spans="1:2" s="127" customFormat="1" ht="52.5" customHeight="1" x14ac:dyDescent="0.2">
      <c r="A277" s="134" t="s">
        <v>667</v>
      </c>
      <c r="B277" s="135" t="s">
        <v>668</v>
      </c>
    </row>
    <row r="278" spans="1:2" s="129" customFormat="1" ht="52.5" customHeight="1" x14ac:dyDescent="0.2">
      <c r="A278" s="134" t="s">
        <v>678</v>
      </c>
      <c r="B278" s="135" t="s">
        <v>679</v>
      </c>
    </row>
    <row r="279" spans="1:2" ht="44.25" customHeight="1" x14ac:dyDescent="0.2">
      <c r="A279" s="8" t="s">
        <v>566</v>
      </c>
      <c r="B279" s="97" t="s">
        <v>567</v>
      </c>
    </row>
    <row r="280" spans="1:2" ht="39.75" customHeight="1" x14ac:dyDescent="0.2">
      <c r="A280" s="8" t="s">
        <v>568</v>
      </c>
      <c r="B280" s="97" t="s">
        <v>569</v>
      </c>
    </row>
    <row r="281" spans="1:2" x14ac:dyDescent="0.2">
      <c r="A281" s="96" t="s">
        <v>399</v>
      </c>
      <c r="B281" s="102" t="s">
        <v>121</v>
      </c>
    </row>
    <row r="282" spans="1:2" ht="33" x14ac:dyDescent="0.2">
      <c r="A282" s="57" t="s">
        <v>400</v>
      </c>
      <c r="B282" s="53" t="s">
        <v>122</v>
      </c>
    </row>
    <row r="283" spans="1:2" x14ac:dyDescent="0.2">
      <c r="A283" s="57" t="s">
        <v>401</v>
      </c>
      <c r="B283" s="53" t="s">
        <v>89</v>
      </c>
    </row>
    <row r="284" spans="1:2" x14ac:dyDescent="0.2">
      <c r="A284" s="57" t="s">
        <v>402</v>
      </c>
      <c r="B284" s="53" t="s">
        <v>197</v>
      </c>
    </row>
    <row r="285" spans="1:2" x14ac:dyDescent="0.2">
      <c r="A285" s="57" t="s">
        <v>403</v>
      </c>
      <c r="B285" s="53" t="s">
        <v>404</v>
      </c>
    </row>
    <row r="286" spans="1:2" x14ac:dyDescent="0.2">
      <c r="A286" s="57" t="s">
        <v>405</v>
      </c>
      <c r="B286" s="53" t="s">
        <v>197</v>
      </c>
    </row>
    <row r="287" spans="1:2" ht="55.5" customHeight="1" x14ac:dyDescent="0.2">
      <c r="A287" s="57" t="s">
        <v>525</v>
      </c>
      <c r="B287" s="53" t="s">
        <v>632</v>
      </c>
    </row>
    <row r="288" spans="1:2" ht="89.25" customHeight="1" x14ac:dyDescent="0.2">
      <c r="A288" s="57" t="s">
        <v>428</v>
      </c>
      <c r="B288" s="53" t="s">
        <v>631</v>
      </c>
    </row>
    <row r="289" spans="1:2" s="43" customFormat="1" ht="90" customHeight="1" x14ac:dyDescent="0.2">
      <c r="A289" s="61" t="s">
        <v>429</v>
      </c>
      <c r="B289" s="99" t="s">
        <v>554</v>
      </c>
    </row>
    <row r="290" spans="1:2" ht="89.25" customHeight="1" x14ac:dyDescent="0.2">
      <c r="A290" s="57" t="s">
        <v>427</v>
      </c>
      <c r="B290" s="53" t="s">
        <v>633</v>
      </c>
    </row>
    <row r="291" spans="1:2" s="127" customFormat="1" ht="89.25" customHeight="1" x14ac:dyDescent="0.2">
      <c r="A291" s="134" t="s">
        <v>664</v>
      </c>
      <c r="B291" s="135" t="s">
        <v>665</v>
      </c>
    </row>
    <row r="292" spans="1:2" s="43" customFormat="1" ht="74.25" customHeight="1" x14ac:dyDescent="0.2">
      <c r="A292" s="61" t="s">
        <v>695</v>
      </c>
      <c r="B292" s="50" t="s">
        <v>701</v>
      </c>
    </row>
    <row r="293" spans="1:2" ht="18.75" customHeight="1" x14ac:dyDescent="0.2">
      <c r="A293" s="96" t="s">
        <v>407</v>
      </c>
      <c r="B293" s="102" t="s">
        <v>406</v>
      </c>
    </row>
    <row r="294" spans="1:2" ht="33" x14ac:dyDescent="0.2">
      <c r="A294" s="57" t="s">
        <v>409</v>
      </c>
      <c r="B294" s="53" t="s">
        <v>408</v>
      </c>
    </row>
    <row r="295" spans="1:2" x14ac:dyDescent="0.2">
      <c r="A295" s="57" t="s">
        <v>410</v>
      </c>
      <c r="B295" s="53" t="s">
        <v>197</v>
      </c>
    </row>
    <row r="296" spans="1:2" x14ac:dyDescent="0.2">
      <c r="A296" s="57" t="s">
        <v>411</v>
      </c>
      <c r="B296" s="53" t="s">
        <v>413</v>
      </c>
    </row>
    <row r="297" spans="1:2" x14ac:dyDescent="0.2">
      <c r="A297" s="57" t="s">
        <v>412</v>
      </c>
      <c r="B297" s="53" t="s">
        <v>197</v>
      </c>
    </row>
    <row r="298" spans="1:2" ht="33" x14ac:dyDescent="0.2">
      <c r="A298" s="57" t="s">
        <v>415</v>
      </c>
      <c r="B298" s="53" t="s">
        <v>414</v>
      </c>
    </row>
    <row r="299" spans="1:2" x14ac:dyDescent="0.2">
      <c r="A299" s="57" t="s">
        <v>416</v>
      </c>
      <c r="B299" s="53" t="s">
        <v>123</v>
      </c>
    </row>
    <row r="300" spans="1:2" x14ac:dyDescent="0.2">
      <c r="A300" s="57" t="s">
        <v>417</v>
      </c>
      <c r="B300" s="53" t="s">
        <v>92</v>
      </c>
    </row>
    <row r="301" spans="1:2" x14ac:dyDescent="0.2">
      <c r="A301" s="57" t="s">
        <v>418</v>
      </c>
      <c r="B301" s="53" t="s">
        <v>63</v>
      </c>
    </row>
    <row r="302" spans="1:2" x14ac:dyDescent="0.2">
      <c r="A302" s="57" t="s">
        <v>419</v>
      </c>
      <c r="B302" s="53" t="s">
        <v>420</v>
      </c>
    </row>
    <row r="303" spans="1:2" x14ac:dyDescent="0.2">
      <c r="A303" s="57" t="s">
        <v>421</v>
      </c>
      <c r="B303" s="53" t="s">
        <v>422</v>
      </c>
    </row>
    <row r="304" spans="1:2" x14ac:dyDescent="0.2">
      <c r="A304" s="57" t="s">
        <v>423</v>
      </c>
      <c r="B304" s="53" t="s">
        <v>67</v>
      </c>
    </row>
    <row r="305" spans="1:2" ht="33" x14ac:dyDescent="0.2">
      <c r="A305" s="57" t="s">
        <v>424</v>
      </c>
      <c r="B305" s="53" t="s">
        <v>188</v>
      </c>
    </row>
    <row r="306" spans="1:2" x14ac:dyDescent="0.2">
      <c r="A306" s="101"/>
      <c r="B306" s="93"/>
    </row>
    <row r="307" spans="1:2" x14ac:dyDescent="0.2">
      <c r="A307" s="101"/>
      <c r="B307" s="93"/>
    </row>
    <row r="308" spans="1:2" x14ac:dyDescent="0.2">
      <c r="A308" s="101"/>
      <c r="B308" s="86"/>
    </row>
    <row r="309" spans="1:2" x14ac:dyDescent="0.2">
      <c r="A309" s="101"/>
      <c r="B309" s="86"/>
    </row>
    <row r="310" spans="1:2" x14ac:dyDescent="0.2">
      <c r="A310" s="101"/>
      <c r="B310" s="86"/>
    </row>
    <row r="311" spans="1:2" x14ac:dyDescent="0.2">
      <c r="A311" s="101"/>
      <c r="B311" s="86"/>
    </row>
    <row r="312" spans="1:2" x14ac:dyDescent="0.2">
      <c r="A312" s="101"/>
      <c r="B312" s="86"/>
    </row>
    <row r="313" spans="1:2" x14ac:dyDescent="0.2">
      <c r="A313" s="101"/>
      <c r="B313" s="86"/>
    </row>
    <row r="314" spans="1:2" x14ac:dyDescent="0.2">
      <c r="A314" s="101"/>
      <c r="B314" s="86"/>
    </row>
    <row r="315" spans="1:2" x14ac:dyDescent="0.2">
      <c r="A315" s="101"/>
      <c r="B315" s="86"/>
    </row>
    <row r="316" spans="1:2" x14ac:dyDescent="0.2">
      <c r="A316" s="101"/>
      <c r="B316" s="86"/>
    </row>
    <row r="317" spans="1:2" x14ac:dyDescent="0.2">
      <c r="A317" s="101"/>
      <c r="B317" s="86"/>
    </row>
    <row r="318" spans="1:2" x14ac:dyDescent="0.2">
      <c r="A318" s="101"/>
      <c r="B318" s="86"/>
    </row>
    <row r="319" spans="1:2" x14ac:dyDescent="0.2">
      <c r="A319" s="101"/>
      <c r="B319" s="86"/>
    </row>
    <row r="320" spans="1:2" x14ac:dyDescent="0.2">
      <c r="A320" s="101"/>
      <c r="B320" s="86"/>
    </row>
    <row r="321" spans="1:2" x14ac:dyDescent="0.2">
      <c r="A321" s="101"/>
      <c r="B321" s="86"/>
    </row>
    <row r="322" spans="1:2" x14ac:dyDescent="0.2">
      <c r="A322" s="101"/>
      <c r="B322" s="86"/>
    </row>
    <row r="323" spans="1:2" x14ac:dyDescent="0.2">
      <c r="A323" s="101"/>
      <c r="B323" s="86"/>
    </row>
    <row r="324" spans="1:2" x14ac:dyDescent="0.2">
      <c r="A324" s="101"/>
      <c r="B324" s="86"/>
    </row>
    <row r="325" spans="1:2" x14ac:dyDescent="0.2">
      <c r="A325" s="101"/>
      <c r="B325" s="86"/>
    </row>
    <row r="326" spans="1:2" x14ac:dyDescent="0.2">
      <c r="A326" s="101"/>
      <c r="B326" s="86"/>
    </row>
    <row r="327" spans="1:2" x14ac:dyDescent="0.2">
      <c r="A327" s="101"/>
      <c r="B327" s="86"/>
    </row>
    <row r="328" spans="1:2" x14ac:dyDescent="0.2">
      <c r="A328" s="101"/>
      <c r="B328" s="86"/>
    </row>
    <row r="329" spans="1:2" x14ac:dyDescent="0.2">
      <c r="A329" s="101"/>
      <c r="B329" s="86"/>
    </row>
    <row r="330" spans="1:2" x14ac:dyDescent="0.2">
      <c r="A330" s="101"/>
      <c r="B330" s="86"/>
    </row>
    <row r="331" spans="1:2" x14ac:dyDescent="0.2">
      <c r="A331" s="101"/>
      <c r="B331" s="86"/>
    </row>
    <row r="332" spans="1:2" x14ac:dyDescent="0.2">
      <c r="A332" s="101"/>
      <c r="B332" s="86"/>
    </row>
    <row r="333" spans="1:2" x14ac:dyDescent="0.2">
      <c r="A333" s="101"/>
      <c r="B333" s="86"/>
    </row>
    <row r="334" spans="1:2" x14ac:dyDescent="0.2">
      <c r="A334" s="101"/>
      <c r="B334" s="86"/>
    </row>
    <row r="335" spans="1:2" x14ac:dyDescent="0.2">
      <c r="A335" s="101"/>
      <c r="B335" s="86"/>
    </row>
    <row r="336" spans="1:2" x14ac:dyDescent="0.2">
      <c r="A336" s="101"/>
      <c r="B336" s="86"/>
    </row>
    <row r="337" spans="1:2" x14ac:dyDescent="0.2">
      <c r="A337" s="101"/>
      <c r="B337" s="86"/>
    </row>
    <row r="338" spans="1:2" x14ac:dyDescent="0.2">
      <c r="A338" s="101"/>
      <c r="B338" s="86"/>
    </row>
    <row r="339" spans="1:2" x14ac:dyDescent="0.2">
      <c r="A339" s="101"/>
      <c r="B339" s="86"/>
    </row>
    <row r="340" spans="1:2" x14ac:dyDescent="0.2">
      <c r="A340" s="101"/>
      <c r="B340" s="86"/>
    </row>
    <row r="341" spans="1:2" x14ac:dyDescent="0.2">
      <c r="A341" s="101"/>
      <c r="B341" s="86"/>
    </row>
  </sheetData>
  <sortState ref="A2:B270">
    <sortCondition ref="A1"/>
  </sortState>
  <phoneticPr fontId="7" type="noConversion"/>
  <pageMargins left="0.70866141732283472" right="0.70866141732283472" top="0.74803149606299213" bottom="0.74803149606299213" header="0.31496062992125984" footer="0.31496062992125984"/>
  <pageSetup paperSize="9" scale="82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opLeftCell="A10" zoomScale="85" zoomScaleNormal="85" workbookViewId="0">
      <selection activeCell="B18" sqref="B18"/>
    </sheetView>
  </sheetViews>
  <sheetFormatPr defaultColWidth="9.140625" defaultRowHeight="16.5" x14ac:dyDescent="0.2"/>
  <cols>
    <col min="1" max="1" width="9.7109375" style="18" customWidth="1"/>
    <col min="2" max="2" width="104" style="18" customWidth="1"/>
    <col min="3" max="3" width="9.140625" style="18"/>
    <col min="4" max="4" width="69.85546875" style="18" customWidth="1"/>
    <col min="5" max="16384" width="9.140625" style="18"/>
  </cols>
  <sheetData>
    <row r="1" spans="1:4" x14ac:dyDescent="0.2">
      <c r="A1" s="10" t="s">
        <v>124</v>
      </c>
      <c r="B1" s="8" t="s">
        <v>68</v>
      </c>
    </row>
    <row r="2" spans="1:4" ht="49.5" x14ac:dyDescent="0.2">
      <c r="A2" s="23">
        <v>100</v>
      </c>
      <c r="B2" s="17" t="s">
        <v>185</v>
      </c>
      <c r="C2" s="39"/>
      <c r="D2" s="40"/>
    </row>
    <row r="3" spans="1:4" x14ac:dyDescent="0.2">
      <c r="A3" s="19">
        <v>110</v>
      </c>
      <c r="B3" s="20" t="s">
        <v>128</v>
      </c>
      <c r="D3" s="40"/>
    </row>
    <row r="4" spans="1:4" x14ac:dyDescent="0.2">
      <c r="A4" s="23">
        <v>120</v>
      </c>
      <c r="B4" s="17" t="s">
        <v>186</v>
      </c>
      <c r="D4" s="40"/>
    </row>
    <row r="5" spans="1:4" ht="18" customHeight="1" x14ac:dyDescent="0.2">
      <c r="A5" s="23">
        <v>200</v>
      </c>
      <c r="B5" s="60" t="s">
        <v>433</v>
      </c>
      <c r="D5" s="40"/>
    </row>
    <row r="6" spans="1:4" x14ac:dyDescent="0.2">
      <c r="A6" s="23">
        <v>240</v>
      </c>
      <c r="B6" s="17" t="s">
        <v>187</v>
      </c>
      <c r="D6" s="40"/>
    </row>
    <row r="7" spans="1:4" ht="20.25" customHeight="1" x14ac:dyDescent="0.2">
      <c r="A7" s="19">
        <v>300</v>
      </c>
      <c r="B7" s="17" t="s">
        <v>134</v>
      </c>
      <c r="D7" s="40"/>
    </row>
    <row r="8" spans="1:4" x14ac:dyDescent="0.2">
      <c r="A8" s="19">
        <v>310</v>
      </c>
      <c r="B8" s="17" t="s">
        <v>135</v>
      </c>
      <c r="D8" s="40"/>
    </row>
    <row r="9" spans="1:4" x14ac:dyDescent="0.2">
      <c r="A9" s="19">
        <v>320</v>
      </c>
      <c r="B9" s="17" t="s">
        <v>136</v>
      </c>
    </row>
    <row r="10" spans="1:4" x14ac:dyDescent="0.2">
      <c r="A10" s="19">
        <v>330</v>
      </c>
      <c r="B10" s="17" t="s">
        <v>179</v>
      </c>
    </row>
    <row r="11" spans="1:4" x14ac:dyDescent="0.2">
      <c r="A11" s="21">
        <v>340</v>
      </c>
      <c r="B11" s="22" t="s">
        <v>125</v>
      </c>
    </row>
    <row r="12" spans="1:4" x14ac:dyDescent="0.2">
      <c r="A12" s="21">
        <v>350</v>
      </c>
      <c r="B12" s="22" t="s">
        <v>126</v>
      </c>
    </row>
    <row r="13" spans="1:4" x14ac:dyDescent="0.2">
      <c r="A13" s="19">
        <v>360</v>
      </c>
      <c r="B13" s="17" t="s">
        <v>137</v>
      </c>
    </row>
    <row r="14" spans="1:4" x14ac:dyDescent="0.2">
      <c r="A14" s="19">
        <v>400</v>
      </c>
      <c r="B14" s="17" t="s">
        <v>184</v>
      </c>
    </row>
    <row r="15" spans="1:4" x14ac:dyDescent="0.2">
      <c r="A15" s="19">
        <v>410</v>
      </c>
      <c r="B15" s="17" t="s">
        <v>138</v>
      </c>
    </row>
    <row r="16" spans="1:4" ht="66" x14ac:dyDescent="0.2">
      <c r="A16" s="19">
        <v>460</v>
      </c>
      <c r="B16" s="17" t="s">
        <v>434</v>
      </c>
    </row>
    <row r="17" spans="1:2" ht="33" x14ac:dyDescent="0.2">
      <c r="A17" s="23">
        <v>600</v>
      </c>
      <c r="B17" s="24" t="s">
        <v>139</v>
      </c>
    </row>
    <row r="18" spans="1:2" x14ac:dyDescent="0.2">
      <c r="A18" s="23">
        <v>610</v>
      </c>
      <c r="B18" s="11" t="s">
        <v>140</v>
      </c>
    </row>
    <row r="19" spans="1:2" x14ac:dyDescent="0.2">
      <c r="A19" s="19">
        <v>620</v>
      </c>
      <c r="B19" s="17" t="s">
        <v>141</v>
      </c>
    </row>
    <row r="20" spans="1:2" ht="39" customHeight="1" x14ac:dyDescent="0.2">
      <c r="A20" s="19">
        <v>630</v>
      </c>
      <c r="B20" s="60" t="s">
        <v>142</v>
      </c>
    </row>
    <row r="21" spans="1:2" x14ac:dyDescent="0.2">
      <c r="A21" s="19">
        <v>700</v>
      </c>
      <c r="B21" s="17" t="s">
        <v>148</v>
      </c>
    </row>
    <row r="22" spans="1:2" x14ac:dyDescent="0.2">
      <c r="A22" s="19">
        <v>730</v>
      </c>
      <c r="B22" s="17" t="s">
        <v>127</v>
      </c>
    </row>
    <row r="23" spans="1:2" x14ac:dyDescent="0.2">
      <c r="A23" s="19">
        <v>800</v>
      </c>
      <c r="B23" s="17" t="s">
        <v>143</v>
      </c>
    </row>
    <row r="24" spans="1:2" ht="36.75" customHeight="1" x14ac:dyDescent="0.2">
      <c r="A24" s="19">
        <v>810</v>
      </c>
      <c r="B24" s="17" t="s">
        <v>501</v>
      </c>
    </row>
    <row r="25" spans="1:2" ht="33" x14ac:dyDescent="0.2">
      <c r="A25" s="19">
        <v>840</v>
      </c>
      <c r="B25" s="17" t="s">
        <v>176</v>
      </c>
    </row>
    <row r="26" spans="1:2" x14ac:dyDescent="0.2">
      <c r="A26" s="19">
        <v>830</v>
      </c>
      <c r="B26" s="17" t="s">
        <v>144</v>
      </c>
    </row>
    <row r="27" spans="1:2" x14ac:dyDescent="0.2">
      <c r="A27" s="19">
        <v>850</v>
      </c>
      <c r="B27" s="17" t="s">
        <v>145</v>
      </c>
    </row>
    <row r="28" spans="1:2" ht="33" x14ac:dyDescent="0.25">
      <c r="A28" s="21">
        <v>860</v>
      </c>
      <c r="B28" s="15" t="s">
        <v>149</v>
      </c>
    </row>
    <row r="29" spans="1:2" x14ac:dyDescent="0.2">
      <c r="A29" s="8">
        <v>870</v>
      </c>
      <c r="B29" s="9" t="s">
        <v>147</v>
      </c>
    </row>
    <row r="30" spans="1:2" x14ac:dyDescent="0.2">
      <c r="A30" s="8">
        <v>880</v>
      </c>
      <c r="B30" s="9" t="s">
        <v>497</v>
      </c>
    </row>
  </sheetData>
  <phoneticPr fontId="7" type="noConversion"/>
  <dataValidations count="1">
    <dataValidation type="list" allowBlank="1" showInputMessage="1" showErrorMessage="1" sqref="B31:B65524">
      <formula1>$A$2:$A$27</formula1>
    </dataValidation>
  </dataValidations>
  <pageMargins left="0.70866141732283472" right="0.43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L76"/>
  <sheetViews>
    <sheetView showZeros="0" tabSelected="1" view="pageBreakPreview" zoomScale="80" zoomScaleNormal="75" zoomScaleSheetLayoutView="80" workbookViewId="0">
      <selection activeCell="F1" sqref="F1:L1"/>
    </sheetView>
  </sheetViews>
  <sheetFormatPr defaultColWidth="9.140625" defaultRowHeight="16.5" x14ac:dyDescent="0.2"/>
  <cols>
    <col min="1" max="1" width="88.5703125" style="42" customWidth="1"/>
    <col min="2" max="2" width="15.5703125" style="43" customWidth="1"/>
    <col min="3" max="3" width="17.85546875" style="43" customWidth="1"/>
    <col min="4" max="4" width="27" style="86" hidden="1" customWidth="1"/>
    <col min="5" max="5" width="18.85546875" style="86" hidden="1" customWidth="1"/>
    <col min="6" max="6" width="24.28515625" style="86" hidden="1" customWidth="1"/>
    <col min="7" max="7" width="20.5703125" style="86" hidden="1" customWidth="1"/>
    <col min="8" max="8" width="24.42578125" style="86" hidden="1" customWidth="1"/>
    <col min="9" max="9" width="15.7109375" style="86" hidden="1" customWidth="1"/>
    <col min="10" max="10" width="23.7109375" style="86" customWidth="1"/>
    <col min="11" max="11" width="16.42578125" style="86" customWidth="1"/>
    <col min="12" max="12" width="20.85546875" style="86" customWidth="1"/>
    <col min="13" max="16384" width="9.140625" style="86"/>
  </cols>
  <sheetData>
    <row r="1" spans="1:12" x14ac:dyDescent="0.2">
      <c r="F1" s="153" t="s">
        <v>707</v>
      </c>
      <c r="G1" s="162"/>
      <c r="H1" s="162"/>
      <c r="I1" s="162"/>
      <c r="J1" s="162"/>
      <c r="K1" s="162"/>
      <c r="L1" s="162"/>
    </row>
    <row r="2" spans="1:12" x14ac:dyDescent="0.2">
      <c r="F2" s="153" t="s">
        <v>115</v>
      </c>
      <c r="G2" s="154"/>
      <c r="H2" s="154"/>
      <c r="I2" s="154"/>
      <c r="J2" s="154"/>
      <c r="K2" s="154"/>
      <c r="L2" s="154"/>
    </row>
    <row r="3" spans="1:12" x14ac:dyDescent="0.2">
      <c r="F3" s="153" t="s">
        <v>108</v>
      </c>
      <c r="G3" s="154"/>
      <c r="H3" s="154"/>
      <c r="I3" s="154"/>
      <c r="J3" s="154"/>
      <c r="K3" s="154"/>
      <c r="L3" s="154"/>
    </row>
    <row r="4" spans="1:12" x14ac:dyDescent="0.2">
      <c r="F4" s="155" t="s">
        <v>658</v>
      </c>
      <c r="G4" s="155"/>
      <c r="H4" s="155"/>
      <c r="I4" s="154"/>
      <c r="J4" s="154"/>
      <c r="K4" s="154"/>
      <c r="L4" s="154"/>
    </row>
    <row r="7" spans="1:12" x14ac:dyDescent="0.2">
      <c r="E7" s="125"/>
      <c r="F7" s="153" t="s">
        <v>491</v>
      </c>
      <c r="G7" s="154"/>
      <c r="H7" s="154"/>
      <c r="I7" s="154"/>
      <c r="J7" s="154"/>
      <c r="K7" s="154"/>
      <c r="L7" s="154"/>
    </row>
    <row r="8" spans="1:12" x14ac:dyDescent="0.2">
      <c r="A8" s="86"/>
      <c r="E8" s="125"/>
      <c r="F8" s="153" t="s">
        <v>115</v>
      </c>
      <c r="G8" s="154"/>
      <c r="H8" s="154"/>
      <c r="I8" s="154"/>
      <c r="J8" s="154"/>
      <c r="K8" s="154"/>
      <c r="L8" s="154"/>
    </row>
    <row r="9" spans="1:12" x14ac:dyDescent="0.2">
      <c r="A9" s="86"/>
      <c r="E9" s="125"/>
      <c r="F9" s="153" t="s">
        <v>108</v>
      </c>
      <c r="G9" s="154"/>
      <c r="H9" s="154"/>
      <c r="I9" s="154"/>
      <c r="J9" s="154"/>
      <c r="K9" s="154"/>
      <c r="L9" s="154"/>
    </row>
    <row r="10" spans="1:12" x14ac:dyDescent="0.2">
      <c r="A10" s="86"/>
      <c r="E10" s="125"/>
      <c r="F10" s="155" t="s">
        <v>656</v>
      </c>
      <c r="G10" s="155"/>
      <c r="H10" s="155"/>
      <c r="I10" s="154"/>
      <c r="J10" s="154"/>
      <c r="K10" s="154"/>
      <c r="L10" s="154"/>
    </row>
    <row r="11" spans="1:12" x14ac:dyDescent="0.2">
      <c r="A11" s="43"/>
      <c r="C11" s="44"/>
    </row>
    <row r="12" spans="1:12" x14ac:dyDescent="0.2">
      <c r="C12" s="44"/>
    </row>
    <row r="13" spans="1:12" x14ac:dyDescent="0.2">
      <c r="A13" s="156" t="s">
        <v>493</v>
      </c>
      <c r="B13" s="156"/>
      <c r="C13" s="156"/>
      <c r="D13" s="156"/>
      <c r="E13" s="154"/>
      <c r="F13" s="154"/>
      <c r="G13" s="154"/>
      <c r="H13" s="154"/>
      <c r="I13" s="154"/>
      <c r="J13" s="154"/>
      <c r="K13" s="154"/>
      <c r="L13" s="154"/>
    </row>
    <row r="14" spans="1:12" ht="18.75" customHeight="1" x14ac:dyDescent="0.2">
      <c r="A14" s="152" t="s">
        <v>535</v>
      </c>
      <c r="B14" s="152"/>
      <c r="C14" s="152"/>
      <c r="D14" s="152"/>
      <c r="E14" s="154"/>
      <c r="F14" s="154"/>
      <c r="G14" s="154"/>
      <c r="H14" s="154"/>
      <c r="I14" s="154"/>
      <c r="J14" s="154"/>
      <c r="K14" s="154"/>
      <c r="L14" s="154"/>
    </row>
    <row r="15" spans="1:12" x14ac:dyDescent="0.2">
      <c r="A15" s="152"/>
      <c r="B15" s="152"/>
      <c r="C15" s="152"/>
    </row>
    <row r="16" spans="1:12" x14ac:dyDescent="0.2">
      <c r="A16" s="106"/>
      <c r="B16" s="106"/>
      <c r="C16" s="106"/>
    </row>
    <row r="17" spans="1:12" ht="16.5" customHeight="1" x14ac:dyDescent="0.2">
      <c r="A17" s="31"/>
      <c r="B17" s="32"/>
      <c r="D17" s="33"/>
      <c r="F17" s="33"/>
      <c r="H17" s="33"/>
      <c r="J17" s="33"/>
      <c r="L17" s="33" t="s">
        <v>116</v>
      </c>
    </row>
    <row r="18" spans="1:12" ht="49.5" customHeight="1" x14ac:dyDescent="0.2">
      <c r="A18" s="26" t="s">
        <v>68</v>
      </c>
      <c r="B18" s="26" t="s">
        <v>648</v>
      </c>
      <c r="C18" s="26" t="s">
        <v>84</v>
      </c>
      <c r="D18" s="63" t="s">
        <v>653</v>
      </c>
      <c r="E18" s="61" t="s">
        <v>652</v>
      </c>
      <c r="F18" s="8" t="s">
        <v>657</v>
      </c>
      <c r="G18" s="126" t="s">
        <v>652</v>
      </c>
      <c r="H18" s="8" t="s">
        <v>682</v>
      </c>
      <c r="I18" s="126" t="s">
        <v>652</v>
      </c>
      <c r="J18" s="8" t="s">
        <v>706</v>
      </c>
      <c r="K18" s="126" t="s">
        <v>652</v>
      </c>
      <c r="L18" s="61" t="s">
        <v>653</v>
      </c>
    </row>
    <row r="19" spans="1:12" ht="21.75" customHeight="1" x14ac:dyDescent="0.2">
      <c r="A19" s="45" t="s">
        <v>69</v>
      </c>
      <c r="B19" s="46" t="s">
        <v>70</v>
      </c>
      <c r="C19" s="46"/>
      <c r="D19" s="47">
        <f>SUM(D20:D26)</f>
        <v>429914.30000000005</v>
      </c>
      <c r="E19" s="47">
        <f>SUM(E20:E26)</f>
        <v>-18553.599999999999</v>
      </c>
      <c r="F19" s="123">
        <f>D19+E19</f>
        <v>411360.70000000007</v>
      </c>
      <c r="G19" s="47">
        <f>SUM(G20:G26)</f>
        <v>41477.700000000004</v>
      </c>
      <c r="H19" s="123">
        <f>F19+G19</f>
        <v>452838.40000000008</v>
      </c>
      <c r="I19" s="47">
        <f>SUM(I20:I26)</f>
        <v>-7165.8</v>
      </c>
      <c r="J19" s="123">
        <f>H19+I19</f>
        <v>445672.60000000009</v>
      </c>
      <c r="K19" s="47">
        <f>SUM(K20:K26)</f>
        <v>-28215.9</v>
      </c>
      <c r="L19" s="123">
        <f>J19+K19</f>
        <v>417456.70000000007</v>
      </c>
    </row>
    <row r="20" spans="1:12" ht="33" x14ac:dyDescent="0.2">
      <c r="A20" s="48" t="s">
        <v>88</v>
      </c>
      <c r="B20" s="46" t="s">
        <v>70</v>
      </c>
      <c r="C20" s="46" t="s">
        <v>71</v>
      </c>
      <c r="D20" s="47">
        <f>'прил. 8'!G457</f>
        <v>3346.5</v>
      </c>
      <c r="E20" s="47">
        <f>'прил. 8'!H457</f>
        <v>0</v>
      </c>
      <c r="F20" s="123">
        <f t="shared" ref="F20:F68" si="0">D20+E20</f>
        <v>3346.5</v>
      </c>
      <c r="G20" s="47">
        <f>'прил. 8'!J457</f>
        <v>0</v>
      </c>
      <c r="H20" s="123">
        <f t="shared" ref="H20:H68" si="1">F20+G20</f>
        <v>3346.5</v>
      </c>
      <c r="I20" s="47">
        <f>'прил. 8'!L457</f>
        <v>0</v>
      </c>
      <c r="J20" s="123">
        <f t="shared" ref="J20:J68" si="2">H20+I20</f>
        <v>3346.5</v>
      </c>
      <c r="K20" s="47">
        <f>'прил. 8'!N457</f>
        <v>0</v>
      </c>
      <c r="L20" s="123">
        <f t="shared" ref="L20:L68" si="3">J20+K20</f>
        <v>3346.5</v>
      </c>
    </row>
    <row r="21" spans="1:12" ht="43.5" customHeight="1" x14ac:dyDescent="0.2">
      <c r="A21" s="45" t="s">
        <v>39</v>
      </c>
      <c r="B21" s="46" t="s">
        <v>70</v>
      </c>
      <c r="C21" s="46" t="s">
        <v>72</v>
      </c>
      <c r="D21" s="49">
        <f>'прил. 8'!G464</f>
        <v>14385.6</v>
      </c>
      <c r="E21" s="49">
        <f>'прил. 8'!H464</f>
        <v>0</v>
      </c>
      <c r="F21" s="123">
        <f t="shared" si="0"/>
        <v>14385.6</v>
      </c>
      <c r="G21" s="49">
        <f>'прил. 8'!J464</f>
        <v>0</v>
      </c>
      <c r="H21" s="123">
        <f t="shared" si="1"/>
        <v>14385.6</v>
      </c>
      <c r="I21" s="49">
        <f>'прил. 8'!L464</f>
        <v>0</v>
      </c>
      <c r="J21" s="123">
        <f t="shared" si="2"/>
        <v>14385.6</v>
      </c>
      <c r="K21" s="49">
        <f>'прил. 8'!N464</f>
        <v>0</v>
      </c>
      <c r="L21" s="123">
        <f t="shared" si="3"/>
        <v>14385.6</v>
      </c>
    </row>
    <row r="22" spans="1:12" ht="49.5" x14ac:dyDescent="0.2">
      <c r="A22" s="50" t="s">
        <v>90</v>
      </c>
      <c r="B22" s="46" t="s">
        <v>70</v>
      </c>
      <c r="C22" s="46" t="s">
        <v>73</v>
      </c>
      <c r="D22" s="47">
        <f>'прил. 8'!G20</f>
        <v>137855.29999999999</v>
      </c>
      <c r="E22" s="47">
        <f>'прил. 8'!H20</f>
        <v>0</v>
      </c>
      <c r="F22" s="123">
        <f t="shared" si="0"/>
        <v>137855.29999999999</v>
      </c>
      <c r="G22" s="47">
        <f>'прил. 8'!J20</f>
        <v>0</v>
      </c>
      <c r="H22" s="123">
        <f t="shared" si="1"/>
        <v>137855.29999999999</v>
      </c>
      <c r="I22" s="47">
        <f>'прил. 8'!L20</f>
        <v>0</v>
      </c>
      <c r="J22" s="123">
        <f t="shared" si="2"/>
        <v>137855.29999999999</v>
      </c>
      <c r="K22" s="47">
        <f>'прил. 8'!N20</f>
        <v>0</v>
      </c>
      <c r="L22" s="123">
        <f t="shared" si="3"/>
        <v>137855.29999999999</v>
      </c>
    </row>
    <row r="23" spans="1:12" x14ac:dyDescent="0.2">
      <c r="A23" s="50" t="s">
        <v>526</v>
      </c>
      <c r="B23" s="46" t="s">
        <v>70</v>
      </c>
      <c r="C23" s="46" t="s">
        <v>78</v>
      </c>
      <c r="D23" s="47">
        <f>'прил. 8'!G37</f>
        <v>186</v>
      </c>
      <c r="E23" s="47">
        <f>'прил. 8'!H37</f>
        <v>0</v>
      </c>
      <c r="F23" s="123">
        <f t="shared" si="0"/>
        <v>186</v>
      </c>
      <c r="G23" s="47">
        <f>'прил. 8'!J37</f>
        <v>0</v>
      </c>
      <c r="H23" s="123">
        <f t="shared" si="1"/>
        <v>186</v>
      </c>
      <c r="I23" s="47">
        <f>'прил. 8'!L37</f>
        <v>0</v>
      </c>
      <c r="J23" s="123">
        <f t="shared" si="2"/>
        <v>186</v>
      </c>
      <c r="K23" s="47">
        <f>'прил. 8'!N37</f>
        <v>0</v>
      </c>
      <c r="L23" s="123">
        <f t="shared" si="3"/>
        <v>186</v>
      </c>
    </row>
    <row r="24" spans="1:12" ht="34.5" customHeight="1" x14ac:dyDescent="0.2">
      <c r="A24" s="45" t="s">
        <v>36</v>
      </c>
      <c r="B24" s="46" t="s">
        <v>70</v>
      </c>
      <c r="C24" s="46" t="s">
        <v>74</v>
      </c>
      <c r="D24" s="47">
        <f>'прил. 8'!G896+'прил. 8'!G1308</f>
        <v>57455.69999999999</v>
      </c>
      <c r="E24" s="47">
        <f>'прил. 8'!H896+'прил. 8'!H1308</f>
        <v>0</v>
      </c>
      <c r="F24" s="123">
        <f t="shared" si="0"/>
        <v>57455.69999999999</v>
      </c>
      <c r="G24" s="47">
        <f>'прил. 8'!J896+'прил. 8'!J1308</f>
        <v>0</v>
      </c>
      <c r="H24" s="123">
        <f t="shared" si="1"/>
        <v>57455.69999999999</v>
      </c>
      <c r="I24" s="47">
        <f>'прил. 8'!L896+'прил. 8'!L1308</f>
        <v>0</v>
      </c>
      <c r="J24" s="123">
        <f t="shared" si="2"/>
        <v>57455.69999999999</v>
      </c>
      <c r="K24" s="47">
        <f>'прил. 8'!N896+'прил. 8'!N1308</f>
        <v>0</v>
      </c>
      <c r="L24" s="123">
        <f t="shared" si="3"/>
        <v>57455.69999999999</v>
      </c>
    </row>
    <row r="25" spans="1:12" x14ac:dyDescent="0.2">
      <c r="A25" s="45" t="s">
        <v>63</v>
      </c>
      <c r="B25" s="46" t="s">
        <v>70</v>
      </c>
      <c r="C25" s="46" t="s">
        <v>81</v>
      </c>
      <c r="D25" s="47">
        <f>'прил. 8'!G914</f>
        <v>29000</v>
      </c>
      <c r="E25" s="47">
        <f>'прил. 8'!H914</f>
        <v>-18553.599999999999</v>
      </c>
      <c r="F25" s="123">
        <f t="shared" si="0"/>
        <v>10446.400000000001</v>
      </c>
      <c r="G25" s="47">
        <f>'прил. 8'!J914</f>
        <v>41142.9</v>
      </c>
      <c r="H25" s="123">
        <f t="shared" si="1"/>
        <v>51589.3</v>
      </c>
      <c r="I25" s="47">
        <f>'прил. 8'!L914</f>
        <v>-14176.5</v>
      </c>
      <c r="J25" s="123">
        <f t="shared" si="2"/>
        <v>37412.800000000003</v>
      </c>
      <c r="K25" s="47">
        <f>'прил. 8'!N914</f>
        <v>-29257.4</v>
      </c>
      <c r="L25" s="123">
        <f t="shared" si="3"/>
        <v>8155.4000000000015</v>
      </c>
    </row>
    <row r="26" spans="1:12" x14ac:dyDescent="0.2">
      <c r="A26" s="45" t="s">
        <v>91</v>
      </c>
      <c r="B26" s="46" t="s">
        <v>70</v>
      </c>
      <c r="C26" s="46" t="s">
        <v>55</v>
      </c>
      <c r="D26" s="47">
        <f>'прил. 8'!G44+'прил. 8'!G491+'прил. 8'!G920+'прил. 8'!G1102+'прил. 8'!G475</f>
        <v>187685.20000000004</v>
      </c>
      <c r="E26" s="47">
        <f>'прил. 8'!H44+'прил. 8'!H491+'прил. 8'!H920+'прил. 8'!H1102+'прил. 8'!H475</f>
        <v>0</v>
      </c>
      <c r="F26" s="123">
        <f t="shared" si="0"/>
        <v>187685.20000000004</v>
      </c>
      <c r="G26" s="47">
        <f>'прил. 8'!J44+'прил. 8'!J491+'прил. 8'!J920+'прил. 8'!J1102+'прил. 8'!J475</f>
        <v>334.8</v>
      </c>
      <c r="H26" s="123">
        <f t="shared" si="1"/>
        <v>188020.00000000003</v>
      </c>
      <c r="I26" s="47">
        <f>'прил. 8'!L44+'прил. 8'!L491+'прил. 8'!L920+'прил. 8'!L1102+'прил. 8'!L475</f>
        <v>7010.7</v>
      </c>
      <c r="J26" s="123">
        <f t="shared" si="2"/>
        <v>195030.70000000004</v>
      </c>
      <c r="K26" s="47">
        <f>'прил. 8'!N44+'прил. 8'!N491+'прил. 8'!N920+'прил. 8'!N1102+'прил. 8'!N475</f>
        <v>1041.5</v>
      </c>
      <c r="L26" s="123">
        <f t="shared" si="3"/>
        <v>196072.20000000004</v>
      </c>
    </row>
    <row r="27" spans="1:12" ht="33" x14ac:dyDescent="0.2">
      <c r="A27" s="45" t="s">
        <v>33</v>
      </c>
      <c r="B27" s="46" t="s">
        <v>72</v>
      </c>
      <c r="C27" s="46"/>
      <c r="D27" s="47">
        <f>SUM(D28)</f>
        <v>58649.799999999996</v>
      </c>
      <c r="E27" s="47">
        <f>SUM(E28)</f>
        <v>0</v>
      </c>
      <c r="F27" s="123">
        <f t="shared" si="0"/>
        <v>58649.799999999996</v>
      </c>
      <c r="G27" s="47">
        <f>SUM(G28)</f>
        <v>0</v>
      </c>
      <c r="H27" s="123">
        <f t="shared" si="1"/>
        <v>58649.799999999996</v>
      </c>
      <c r="I27" s="47">
        <f>SUM(I28)</f>
        <v>61.8</v>
      </c>
      <c r="J27" s="123">
        <f t="shared" si="2"/>
        <v>58711.6</v>
      </c>
      <c r="K27" s="47">
        <f>SUM(K28)</f>
        <v>0</v>
      </c>
      <c r="L27" s="123">
        <f t="shared" si="3"/>
        <v>58711.6</v>
      </c>
    </row>
    <row r="28" spans="1:12" ht="33" x14ac:dyDescent="0.2">
      <c r="A28" s="45" t="s">
        <v>111</v>
      </c>
      <c r="B28" s="46" t="s">
        <v>72</v>
      </c>
      <c r="C28" s="46" t="s">
        <v>76</v>
      </c>
      <c r="D28" s="47">
        <f>'прил. 8'!G142</f>
        <v>58649.799999999996</v>
      </c>
      <c r="E28" s="47">
        <f>'прил. 8'!H142</f>
        <v>0</v>
      </c>
      <c r="F28" s="123">
        <f t="shared" si="0"/>
        <v>58649.799999999996</v>
      </c>
      <c r="G28" s="47">
        <f>'прил. 8'!J142</f>
        <v>0</v>
      </c>
      <c r="H28" s="123">
        <f t="shared" si="1"/>
        <v>58649.799999999996</v>
      </c>
      <c r="I28" s="47">
        <f>'прил. 8'!L142</f>
        <v>61.8</v>
      </c>
      <c r="J28" s="123">
        <f t="shared" si="2"/>
        <v>58711.6</v>
      </c>
      <c r="K28" s="47">
        <f>'прил. 8'!N142</f>
        <v>0</v>
      </c>
      <c r="L28" s="123">
        <f t="shared" si="3"/>
        <v>58711.6</v>
      </c>
    </row>
    <row r="29" spans="1:12" ht="18.75" customHeight="1" x14ac:dyDescent="0.2">
      <c r="A29" s="55" t="s">
        <v>77</v>
      </c>
      <c r="B29" s="54" t="s">
        <v>73</v>
      </c>
      <c r="C29" s="54"/>
      <c r="D29" s="58">
        <f>SUM(D30:D34)</f>
        <v>775625.7</v>
      </c>
      <c r="E29" s="58">
        <f>SUM(E30:E34)</f>
        <v>25694</v>
      </c>
      <c r="F29" s="123">
        <f t="shared" si="0"/>
        <v>801319.7</v>
      </c>
      <c r="G29" s="58">
        <f>SUM(G30:G34)</f>
        <v>-727</v>
      </c>
      <c r="H29" s="123">
        <f t="shared" si="1"/>
        <v>800592.7</v>
      </c>
      <c r="I29" s="58">
        <f>SUM(I30:I34)</f>
        <v>323050.39999999997</v>
      </c>
      <c r="J29" s="123">
        <f t="shared" si="2"/>
        <v>1123643.0999999999</v>
      </c>
      <c r="K29" s="58">
        <f>SUM(K30:K34)</f>
        <v>-551.49999999999977</v>
      </c>
      <c r="L29" s="123">
        <f t="shared" si="3"/>
        <v>1123091.5999999999</v>
      </c>
    </row>
    <row r="30" spans="1:12" x14ac:dyDescent="0.2">
      <c r="A30" s="53" t="s">
        <v>65</v>
      </c>
      <c r="B30" s="54" t="s">
        <v>73</v>
      </c>
      <c r="C30" s="54" t="s">
        <v>70</v>
      </c>
      <c r="D30" s="58">
        <f>'прил. 8'!G187</f>
        <v>1680.3</v>
      </c>
      <c r="E30" s="58">
        <f>'прил. 8'!H187</f>
        <v>0</v>
      </c>
      <c r="F30" s="123">
        <f t="shared" si="0"/>
        <v>1680.3</v>
      </c>
      <c r="G30" s="58">
        <f>'прил. 8'!J187</f>
        <v>0</v>
      </c>
      <c r="H30" s="123">
        <f t="shared" si="1"/>
        <v>1680.3</v>
      </c>
      <c r="I30" s="58">
        <f>'прил. 8'!L187</f>
        <v>0</v>
      </c>
      <c r="J30" s="123">
        <f t="shared" si="2"/>
        <v>1680.3</v>
      </c>
      <c r="K30" s="58">
        <f>'прил. 8'!N187</f>
        <v>0</v>
      </c>
      <c r="L30" s="123">
        <f t="shared" si="3"/>
        <v>1680.3</v>
      </c>
    </row>
    <row r="31" spans="1:12" x14ac:dyDescent="0.2">
      <c r="A31" s="56" t="s">
        <v>146</v>
      </c>
      <c r="B31" s="54" t="s">
        <v>73</v>
      </c>
      <c r="C31" s="54" t="s">
        <v>79</v>
      </c>
      <c r="D31" s="58">
        <f>'прил. 8'!G498+'прил. 8'!G1119</f>
        <v>87141.6</v>
      </c>
      <c r="E31" s="58">
        <f>'прил. 8'!H498+'прил. 8'!H1119</f>
        <v>0</v>
      </c>
      <c r="F31" s="123">
        <f t="shared" si="0"/>
        <v>87141.6</v>
      </c>
      <c r="G31" s="58">
        <f>'прил. 8'!J498+'прил. 8'!J1119</f>
        <v>0</v>
      </c>
      <c r="H31" s="123">
        <f t="shared" si="1"/>
        <v>87141.6</v>
      </c>
      <c r="I31" s="58">
        <f>'прил. 8'!L498+'прил. 8'!L1119</f>
        <v>0</v>
      </c>
      <c r="J31" s="123">
        <f t="shared" si="2"/>
        <v>87141.6</v>
      </c>
      <c r="K31" s="58">
        <f>'прил. 8'!N498+'прил. 8'!N1119</f>
        <v>0</v>
      </c>
      <c r="L31" s="123">
        <f t="shared" si="3"/>
        <v>87141.6</v>
      </c>
    </row>
    <row r="32" spans="1:12" x14ac:dyDescent="0.2">
      <c r="A32" s="56" t="s">
        <v>45</v>
      </c>
      <c r="B32" s="54" t="s">
        <v>73</v>
      </c>
      <c r="C32" s="54" t="s">
        <v>76</v>
      </c>
      <c r="D32" s="58">
        <f>'прил. 8'!G503+'прил. 8'!G1128</f>
        <v>346663.5</v>
      </c>
      <c r="E32" s="58">
        <f>'прил. 8'!H503+'прил. 8'!H1128</f>
        <v>18553.599999999999</v>
      </c>
      <c r="F32" s="123">
        <f t="shared" si="0"/>
        <v>365217.1</v>
      </c>
      <c r="G32" s="58">
        <f>'прил. 8'!J503+'прил. 8'!J1128</f>
        <v>-392.2</v>
      </c>
      <c r="H32" s="123">
        <f t="shared" si="1"/>
        <v>364824.89999999997</v>
      </c>
      <c r="I32" s="58">
        <f>'прил. 8'!L503+'прил. 8'!L1128</f>
        <v>319675.69999999995</v>
      </c>
      <c r="J32" s="123">
        <f t="shared" si="2"/>
        <v>684500.59999999986</v>
      </c>
      <c r="K32" s="58">
        <f>'прил. 8'!N503+'прил. 8'!N1128</f>
        <v>493.60000000000008</v>
      </c>
      <c r="L32" s="123">
        <f t="shared" si="3"/>
        <v>684994.19999999984</v>
      </c>
    </row>
    <row r="33" spans="1:12" x14ac:dyDescent="0.2">
      <c r="A33" s="55" t="s">
        <v>87</v>
      </c>
      <c r="B33" s="54" t="s">
        <v>73</v>
      </c>
      <c r="C33" s="54" t="s">
        <v>53</v>
      </c>
      <c r="D33" s="58">
        <f>'прил. 8'!G194</f>
        <v>54288.999999999993</v>
      </c>
      <c r="E33" s="58">
        <f>'прил. 8'!H194</f>
        <v>0</v>
      </c>
      <c r="F33" s="123">
        <f t="shared" si="0"/>
        <v>54288.999999999993</v>
      </c>
      <c r="G33" s="58">
        <f>'прил. 8'!J194</f>
        <v>0</v>
      </c>
      <c r="H33" s="123">
        <f t="shared" si="1"/>
        <v>54288.999999999993</v>
      </c>
      <c r="I33" s="58">
        <f>'прил. 8'!L194</f>
        <v>0</v>
      </c>
      <c r="J33" s="123">
        <f t="shared" si="2"/>
        <v>54288.999999999993</v>
      </c>
      <c r="K33" s="58">
        <f>'прил. 8'!N194</f>
        <v>0</v>
      </c>
      <c r="L33" s="123">
        <f t="shared" si="3"/>
        <v>54288.999999999993</v>
      </c>
    </row>
    <row r="34" spans="1:12" x14ac:dyDescent="0.2">
      <c r="A34" s="55" t="s">
        <v>80</v>
      </c>
      <c r="B34" s="54" t="s">
        <v>73</v>
      </c>
      <c r="C34" s="54" t="s">
        <v>61</v>
      </c>
      <c r="D34" s="58">
        <f>'прил. 8'!G228+'прил. 8'!G532+'прил. 8'!G621+'прил. 8'!G947+'прил. 8'!G1157</f>
        <v>285851.3</v>
      </c>
      <c r="E34" s="58">
        <f>'прил. 8'!H228+'прил. 8'!H532+'прил. 8'!H621+'прил. 8'!H947+'прил. 8'!H1157</f>
        <v>7140.4</v>
      </c>
      <c r="F34" s="123">
        <f t="shared" si="0"/>
        <v>292991.7</v>
      </c>
      <c r="G34" s="58">
        <f>'прил. 8'!J228+'прил. 8'!J532+'прил. 8'!J621+'прил. 8'!J947+'прил. 8'!J1157</f>
        <v>-334.8</v>
      </c>
      <c r="H34" s="123">
        <f t="shared" si="1"/>
        <v>292656.90000000002</v>
      </c>
      <c r="I34" s="58">
        <f>'прил. 8'!L228+'прил. 8'!L532+'прил. 8'!L621+'прил. 8'!L947+'прил. 8'!L1157</f>
        <v>3374.7</v>
      </c>
      <c r="J34" s="123">
        <f t="shared" si="2"/>
        <v>296031.60000000003</v>
      </c>
      <c r="K34" s="58">
        <f>'прил. 8'!N228+'прил. 8'!N532+'прил. 8'!N621+'прил. 8'!N947+'прил. 8'!N1157</f>
        <v>-1045.0999999999999</v>
      </c>
      <c r="L34" s="123">
        <f t="shared" si="3"/>
        <v>294986.50000000006</v>
      </c>
    </row>
    <row r="35" spans="1:12" ht="24.75" customHeight="1" x14ac:dyDescent="0.2">
      <c r="A35" s="45" t="s">
        <v>82</v>
      </c>
      <c r="B35" s="46" t="s">
        <v>78</v>
      </c>
      <c r="C35" s="46"/>
      <c r="D35" s="47">
        <f>SUM(D36:D38)</f>
        <v>251312.40000000002</v>
      </c>
      <c r="E35" s="47">
        <f>SUM(E36:E38)</f>
        <v>0</v>
      </c>
      <c r="F35" s="123">
        <f t="shared" si="0"/>
        <v>251312.40000000002</v>
      </c>
      <c r="G35" s="47">
        <f>SUM(G36:G38)</f>
        <v>854</v>
      </c>
      <c r="H35" s="123">
        <f t="shared" si="1"/>
        <v>252166.40000000002</v>
      </c>
      <c r="I35" s="47">
        <f>SUM(I36:I38)</f>
        <v>16482.5</v>
      </c>
      <c r="J35" s="123">
        <f t="shared" si="2"/>
        <v>268648.90000000002</v>
      </c>
      <c r="K35" s="47">
        <f>SUM(K36:K38)</f>
        <v>161636</v>
      </c>
      <c r="L35" s="123">
        <f t="shared" si="3"/>
        <v>430284.9</v>
      </c>
    </row>
    <row r="36" spans="1:12" x14ac:dyDescent="0.2">
      <c r="A36" s="45" t="s">
        <v>83</v>
      </c>
      <c r="B36" s="46" t="s">
        <v>78</v>
      </c>
      <c r="C36" s="46" t="s">
        <v>70</v>
      </c>
      <c r="D36" s="47">
        <f>'прил. 8'!G539</f>
        <v>35766.200000000004</v>
      </c>
      <c r="E36" s="47">
        <f>'прил. 8'!H539</f>
        <v>0</v>
      </c>
      <c r="F36" s="123">
        <f t="shared" si="0"/>
        <v>35766.200000000004</v>
      </c>
      <c r="G36" s="47">
        <f>'прил. 8'!J539</f>
        <v>-1.1000000000000001</v>
      </c>
      <c r="H36" s="123">
        <f t="shared" si="1"/>
        <v>35765.100000000006</v>
      </c>
      <c r="I36" s="47">
        <f>'прил. 8'!L539</f>
        <v>5528.3</v>
      </c>
      <c r="J36" s="123">
        <f t="shared" si="2"/>
        <v>41293.400000000009</v>
      </c>
      <c r="K36" s="47">
        <f>'прил. 8'!N539</f>
        <v>108020.7</v>
      </c>
      <c r="L36" s="123">
        <f t="shared" si="3"/>
        <v>149314.1</v>
      </c>
    </row>
    <row r="37" spans="1:12" x14ac:dyDescent="0.2">
      <c r="A37" s="50" t="s">
        <v>104</v>
      </c>
      <c r="B37" s="46" t="s">
        <v>78</v>
      </c>
      <c r="C37" s="46" t="s">
        <v>72</v>
      </c>
      <c r="D37" s="47">
        <f>'прил. 8'!G570+'прил. 8'!G1192</f>
        <v>195957.5</v>
      </c>
      <c r="E37" s="47">
        <f>'прил. 8'!H570+'прил. 8'!H1192</f>
        <v>0</v>
      </c>
      <c r="F37" s="123">
        <f t="shared" si="0"/>
        <v>195957.5</v>
      </c>
      <c r="G37" s="47">
        <f>'прил. 8'!J570+'прил. 8'!J1192</f>
        <v>393.3</v>
      </c>
      <c r="H37" s="123">
        <f t="shared" si="1"/>
        <v>196350.8</v>
      </c>
      <c r="I37" s="47">
        <f>'прил. 8'!L570+'прил. 8'!L1192</f>
        <v>10888.8</v>
      </c>
      <c r="J37" s="123">
        <f t="shared" si="2"/>
        <v>207239.59999999998</v>
      </c>
      <c r="K37" s="47">
        <f>'прил. 8'!N570+'прил. 8'!N1192</f>
        <v>53615.299999999996</v>
      </c>
      <c r="L37" s="123">
        <f t="shared" si="3"/>
        <v>260854.89999999997</v>
      </c>
    </row>
    <row r="38" spans="1:12" x14ac:dyDescent="0.2">
      <c r="A38" s="45" t="s">
        <v>35</v>
      </c>
      <c r="B38" s="46" t="s">
        <v>78</v>
      </c>
      <c r="C38" s="46" t="s">
        <v>78</v>
      </c>
      <c r="D38" s="47">
        <f>'прил. 8'!G583</f>
        <v>19588.7</v>
      </c>
      <c r="E38" s="47">
        <f>'прил. 8'!H583</f>
        <v>0</v>
      </c>
      <c r="F38" s="123">
        <f t="shared" si="0"/>
        <v>19588.7</v>
      </c>
      <c r="G38" s="47">
        <f>'прил. 8'!J583+'прил. 8'!J260</f>
        <v>461.8</v>
      </c>
      <c r="H38" s="123">
        <f t="shared" si="1"/>
        <v>20050.5</v>
      </c>
      <c r="I38" s="47">
        <f>'прил. 8'!L583+'прил. 8'!L260</f>
        <v>65.400000000000006</v>
      </c>
      <c r="J38" s="123">
        <f t="shared" si="2"/>
        <v>20115.900000000001</v>
      </c>
      <c r="K38" s="47">
        <f>'прил. 8'!N583+'прил. 8'!N260</f>
        <v>0</v>
      </c>
      <c r="L38" s="123">
        <f t="shared" si="3"/>
        <v>20115.900000000001</v>
      </c>
    </row>
    <row r="39" spans="1:12" ht="21.75" customHeight="1" x14ac:dyDescent="0.2">
      <c r="A39" s="45" t="s">
        <v>105</v>
      </c>
      <c r="B39" s="46" t="s">
        <v>74</v>
      </c>
      <c r="C39" s="46"/>
      <c r="D39" s="47">
        <f>SUM(D40:D40)</f>
        <v>6348.2</v>
      </c>
      <c r="E39" s="47">
        <f>SUM(E40:E40)</f>
        <v>0</v>
      </c>
      <c r="F39" s="123">
        <f t="shared" si="0"/>
        <v>6348.2</v>
      </c>
      <c r="G39" s="47">
        <f>SUM(G40:G40)</f>
        <v>0</v>
      </c>
      <c r="H39" s="123">
        <f t="shared" si="1"/>
        <v>6348.2</v>
      </c>
      <c r="I39" s="47">
        <f>SUM(I40:I40)</f>
        <v>0</v>
      </c>
      <c r="J39" s="123">
        <f t="shared" si="2"/>
        <v>6348.2</v>
      </c>
      <c r="K39" s="47">
        <f>SUM(K40:K40)</f>
        <v>0</v>
      </c>
      <c r="L39" s="123">
        <f t="shared" si="3"/>
        <v>6348.2</v>
      </c>
    </row>
    <row r="40" spans="1:12" x14ac:dyDescent="0.2">
      <c r="A40" s="45" t="s">
        <v>106</v>
      </c>
      <c r="B40" s="46" t="s">
        <v>74</v>
      </c>
      <c r="C40" s="46" t="s">
        <v>78</v>
      </c>
      <c r="D40" s="47">
        <f>'прил. 8'!G597+'прил. 8'!G268</f>
        <v>6348.2</v>
      </c>
      <c r="E40" s="47">
        <f>'прил. 8'!H597+'прил. 8'!H268</f>
        <v>0</v>
      </c>
      <c r="F40" s="123">
        <f t="shared" si="0"/>
        <v>6348.2</v>
      </c>
      <c r="G40" s="47">
        <f>'прил. 8'!J597+'прил. 8'!J268</f>
        <v>0</v>
      </c>
      <c r="H40" s="123">
        <f t="shared" si="1"/>
        <v>6348.2</v>
      </c>
      <c r="I40" s="47">
        <f>'прил. 8'!L597+'прил. 8'!L268</f>
        <v>0</v>
      </c>
      <c r="J40" s="123">
        <f t="shared" si="2"/>
        <v>6348.2</v>
      </c>
      <c r="K40" s="47">
        <f>'прил. 8'!N597+'прил. 8'!N268</f>
        <v>0</v>
      </c>
      <c r="L40" s="123">
        <f t="shared" si="3"/>
        <v>6348.2</v>
      </c>
    </row>
    <row r="41" spans="1:12" ht="24" customHeight="1" x14ac:dyDescent="0.2">
      <c r="A41" s="45" t="s">
        <v>107</v>
      </c>
      <c r="B41" s="46" t="s">
        <v>60</v>
      </c>
      <c r="C41" s="46"/>
      <c r="D41" s="47">
        <f>SUM(D42:D47)</f>
        <v>4840551.4999999991</v>
      </c>
      <c r="E41" s="47">
        <f>SUM(E42:E47)</f>
        <v>0</v>
      </c>
      <c r="F41" s="123">
        <f t="shared" si="0"/>
        <v>4840551.4999999991</v>
      </c>
      <c r="G41" s="47">
        <f>SUM(G42:G47)</f>
        <v>-81029.700000000012</v>
      </c>
      <c r="H41" s="123">
        <f t="shared" si="1"/>
        <v>4759521.7999999989</v>
      </c>
      <c r="I41" s="47">
        <f>SUM(I42:I47)</f>
        <v>32726.7</v>
      </c>
      <c r="J41" s="123">
        <f t="shared" si="2"/>
        <v>4792248.4999999991</v>
      </c>
      <c r="K41" s="47">
        <f>SUM(K42:K47)</f>
        <v>2557.8000000000061</v>
      </c>
      <c r="L41" s="123">
        <f t="shared" si="3"/>
        <v>4794806.2999999989</v>
      </c>
    </row>
    <row r="42" spans="1:12" x14ac:dyDescent="0.2">
      <c r="A42" s="45" t="s">
        <v>109</v>
      </c>
      <c r="B42" s="46" t="s">
        <v>60</v>
      </c>
      <c r="C42" s="46" t="s">
        <v>70</v>
      </c>
      <c r="D42" s="47">
        <f>'прил. 8'!G634+'прил. 8'!G1218</f>
        <v>1777444.4</v>
      </c>
      <c r="E42" s="47">
        <f>'прил. 8'!H634+'прил. 8'!H1218</f>
        <v>0</v>
      </c>
      <c r="F42" s="123">
        <f t="shared" si="0"/>
        <v>1777444.4</v>
      </c>
      <c r="G42" s="47">
        <f>'прил. 8'!J634+'прил. 8'!J1218</f>
        <v>0</v>
      </c>
      <c r="H42" s="123">
        <f t="shared" si="1"/>
        <v>1777444.4</v>
      </c>
      <c r="I42" s="47">
        <f>'прил. 8'!L634+'прил. 8'!L1218</f>
        <v>8513.3000000000011</v>
      </c>
      <c r="J42" s="123">
        <f t="shared" si="2"/>
        <v>1785957.7</v>
      </c>
      <c r="K42" s="47">
        <f>'прил. 8'!N634+'прил. 8'!N1218</f>
        <v>1659.3000000000002</v>
      </c>
      <c r="L42" s="123">
        <f t="shared" si="3"/>
        <v>1787617</v>
      </c>
    </row>
    <row r="43" spans="1:12" x14ac:dyDescent="0.2">
      <c r="A43" s="45" t="s">
        <v>102</v>
      </c>
      <c r="B43" s="46" t="s">
        <v>60</v>
      </c>
      <c r="C43" s="46" t="s">
        <v>71</v>
      </c>
      <c r="D43" s="47">
        <f>'прил. 8'!G708+'прил. 8'!G1234</f>
        <v>2574023.0999999996</v>
      </c>
      <c r="E43" s="47">
        <f>'прил. 8'!H708+'прил. 8'!H1234</f>
        <v>0</v>
      </c>
      <c r="F43" s="123">
        <f t="shared" si="0"/>
        <v>2574023.0999999996</v>
      </c>
      <c r="G43" s="47">
        <f>'прил. 8'!J708+'прил. 8'!J1234</f>
        <v>-81029.700000000012</v>
      </c>
      <c r="H43" s="123">
        <f t="shared" si="1"/>
        <v>2492993.3999999994</v>
      </c>
      <c r="I43" s="47">
        <f>'прил. 8'!L708+'прил. 8'!L1234</f>
        <v>30243.1</v>
      </c>
      <c r="J43" s="123">
        <f t="shared" si="2"/>
        <v>2523236.4999999995</v>
      </c>
      <c r="K43" s="47">
        <f>'прил. 8'!N708+'прил. 8'!N1234</f>
        <v>-350.39999999999418</v>
      </c>
      <c r="L43" s="123">
        <f t="shared" si="3"/>
        <v>2522886.0999999996</v>
      </c>
    </row>
    <row r="44" spans="1:12" x14ac:dyDescent="0.2">
      <c r="A44" s="45" t="s">
        <v>465</v>
      </c>
      <c r="B44" s="46" t="s">
        <v>60</v>
      </c>
      <c r="C44" s="46" t="s">
        <v>72</v>
      </c>
      <c r="D44" s="47">
        <f>'прил. 8'!G797+'прил. 8'!G957+'прил. 8'!G1053+'прил. 8'!G1256</f>
        <v>398809.3</v>
      </c>
      <c r="E44" s="47">
        <f>'прил. 8'!H797+'прил. 8'!H957+'прил. 8'!H1053+'прил. 8'!H1256</f>
        <v>0</v>
      </c>
      <c r="F44" s="123">
        <f t="shared" si="0"/>
        <v>398809.3</v>
      </c>
      <c r="G44" s="47">
        <f>'прил. 8'!J797+'прил. 8'!J957+'прил. 8'!J1053+'прил. 8'!J1256</f>
        <v>0</v>
      </c>
      <c r="H44" s="123">
        <f t="shared" si="1"/>
        <v>398809.3</v>
      </c>
      <c r="I44" s="47">
        <f>'прил. 8'!L797+'прил. 8'!L957+'прил. 8'!L1053+'прил. 8'!L1256</f>
        <v>-7751.7000000000007</v>
      </c>
      <c r="J44" s="123">
        <f t="shared" si="2"/>
        <v>391057.6</v>
      </c>
      <c r="K44" s="47">
        <f>'прил. 8'!N797+'прил. 8'!N957+'прил. 8'!N1053+'прил. 8'!N1256</f>
        <v>287.5</v>
      </c>
      <c r="L44" s="123">
        <f t="shared" si="3"/>
        <v>391345.1</v>
      </c>
    </row>
    <row r="45" spans="1:12" x14ac:dyDescent="0.2">
      <c r="A45" s="45" t="s">
        <v>532</v>
      </c>
      <c r="B45" s="46" t="s">
        <v>60</v>
      </c>
      <c r="C45" s="46" t="s">
        <v>78</v>
      </c>
      <c r="D45" s="47">
        <f>'прил. 8'!G282+'прил. 8'!G482+'прил. 8'!G821+'прил. 8'!G927+'прил. 8'!G1317+'прил. 8'!G1059+'прил. 8'!G1267</f>
        <v>1440.1</v>
      </c>
      <c r="E45" s="47">
        <f>'прил. 8'!H282+'прил. 8'!H482+'прил. 8'!H821+'прил. 8'!H927+'прил. 8'!H1317+'прил. 8'!H1059+'прил. 8'!H1267</f>
        <v>0</v>
      </c>
      <c r="F45" s="123">
        <f t="shared" si="0"/>
        <v>1440.1</v>
      </c>
      <c r="G45" s="47">
        <f>'прил. 8'!J282+'прил. 8'!J482+'прил. 8'!J821+'прил. 8'!J927+'прил. 8'!J1317+'прил. 8'!J1059+'прил. 8'!J1267</f>
        <v>0</v>
      </c>
      <c r="H45" s="123">
        <f t="shared" si="1"/>
        <v>1440.1</v>
      </c>
      <c r="I45" s="47">
        <f>'прил. 8'!L282+'прил. 8'!L482+'прил. 8'!L821+'прил. 8'!L927+'прил. 8'!L1317+'прил. 8'!L1059+'прил. 8'!L1267</f>
        <v>1722.0000000000002</v>
      </c>
      <c r="J45" s="123">
        <f t="shared" si="2"/>
        <v>3162.1000000000004</v>
      </c>
      <c r="K45" s="47">
        <f>'прил. 8'!N282+'прил. 8'!N482+'прил. 8'!N821+'прил. 8'!N927+'прил. 8'!N1317+'прил. 8'!N1059+'прил. 8'!N1267</f>
        <v>961.4</v>
      </c>
      <c r="L45" s="123">
        <f t="shared" si="3"/>
        <v>4123.5</v>
      </c>
    </row>
    <row r="46" spans="1:12" x14ac:dyDescent="0.2">
      <c r="A46" s="45" t="s">
        <v>464</v>
      </c>
      <c r="B46" s="46" t="s">
        <v>60</v>
      </c>
      <c r="C46" s="46" t="s">
        <v>60</v>
      </c>
      <c r="D46" s="47">
        <f>'прил. 8'!G334</f>
        <v>7639.1</v>
      </c>
      <c r="E46" s="47">
        <f>'прил. 8'!H334</f>
        <v>0</v>
      </c>
      <c r="F46" s="123">
        <f t="shared" si="0"/>
        <v>7639.1</v>
      </c>
      <c r="G46" s="47">
        <f>'прил. 8'!J334</f>
        <v>0</v>
      </c>
      <c r="H46" s="123">
        <f t="shared" si="1"/>
        <v>7639.1</v>
      </c>
      <c r="I46" s="47">
        <f>'прил. 8'!L334</f>
        <v>0</v>
      </c>
      <c r="J46" s="123">
        <f t="shared" si="2"/>
        <v>7639.1</v>
      </c>
      <c r="K46" s="47">
        <f>'прил. 8'!N334</f>
        <v>0</v>
      </c>
      <c r="L46" s="123">
        <f t="shared" si="3"/>
        <v>7639.1</v>
      </c>
    </row>
    <row r="47" spans="1:12" x14ac:dyDescent="0.2">
      <c r="A47" s="45" t="s">
        <v>103</v>
      </c>
      <c r="B47" s="46" t="s">
        <v>60</v>
      </c>
      <c r="C47" s="46" t="s">
        <v>76</v>
      </c>
      <c r="D47" s="47">
        <f>'прил. 8'!G842</f>
        <v>81195.5</v>
      </c>
      <c r="E47" s="47">
        <f>'прил. 8'!H842</f>
        <v>0</v>
      </c>
      <c r="F47" s="123">
        <f t="shared" si="0"/>
        <v>81195.5</v>
      </c>
      <c r="G47" s="47">
        <f>'прил. 8'!J842</f>
        <v>0</v>
      </c>
      <c r="H47" s="123">
        <f t="shared" si="1"/>
        <v>81195.5</v>
      </c>
      <c r="I47" s="47">
        <f>'прил. 8'!L842</f>
        <v>0</v>
      </c>
      <c r="J47" s="123">
        <f t="shared" si="2"/>
        <v>81195.5</v>
      </c>
      <c r="K47" s="47">
        <f>'прил. 8'!N842</f>
        <v>0</v>
      </c>
      <c r="L47" s="123">
        <f t="shared" si="3"/>
        <v>81195.5</v>
      </c>
    </row>
    <row r="48" spans="1:12" ht="21" customHeight="1" x14ac:dyDescent="0.2">
      <c r="A48" s="45" t="s">
        <v>38</v>
      </c>
      <c r="B48" s="46" t="s">
        <v>79</v>
      </c>
      <c r="C48" s="46"/>
      <c r="D48" s="47">
        <f>SUM(D49:D50)</f>
        <v>350270.89999999997</v>
      </c>
      <c r="E48" s="47">
        <f>SUM(E49:E50)</f>
        <v>0</v>
      </c>
      <c r="F48" s="123">
        <f t="shared" si="0"/>
        <v>350270.89999999997</v>
      </c>
      <c r="G48" s="47">
        <f>SUM(G49:G50)</f>
        <v>0</v>
      </c>
      <c r="H48" s="123">
        <f t="shared" si="1"/>
        <v>350270.89999999997</v>
      </c>
      <c r="I48" s="47">
        <f>SUM(I49:I50)</f>
        <v>1280.2000000000003</v>
      </c>
      <c r="J48" s="123">
        <f t="shared" si="2"/>
        <v>351551.1</v>
      </c>
      <c r="K48" s="47">
        <f>SUM(K49:K50)</f>
        <v>0</v>
      </c>
      <c r="L48" s="123">
        <f t="shared" si="3"/>
        <v>351551.1</v>
      </c>
    </row>
    <row r="49" spans="1:12" s="7" customFormat="1" x14ac:dyDescent="0.2">
      <c r="A49" s="45" t="s">
        <v>49</v>
      </c>
      <c r="B49" s="46" t="s">
        <v>79</v>
      </c>
      <c r="C49" s="46" t="s">
        <v>70</v>
      </c>
      <c r="D49" s="47">
        <f>'прил. 8'!G975+'прил. 8'!G1273</f>
        <v>283159.19999999995</v>
      </c>
      <c r="E49" s="47">
        <f>'прил. 8'!H975+'прил. 8'!H1273</f>
        <v>0</v>
      </c>
      <c r="F49" s="123">
        <f t="shared" si="0"/>
        <v>283159.19999999995</v>
      </c>
      <c r="G49" s="47">
        <f>'прил. 8'!J975+'прил. 8'!J1273</f>
        <v>0</v>
      </c>
      <c r="H49" s="123">
        <f t="shared" si="1"/>
        <v>283159.19999999995</v>
      </c>
      <c r="I49" s="47">
        <f>'прил. 8'!L975+'прил. 8'!L1273</f>
        <v>1839.3000000000002</v>
      </c>
      <c r="J49" s="123">
        <f t="shared" si="2"/>
        <v>284998.49999999994</v>
      </c>
      <c r="K49" s="47">
        <f>'прил. 8'!N975+'прил. 8'!N1273</f>
        <v>188</v>
      </c>
      <c r="L49" s="123">
        <f t="shared" si="3"/>
        <v>285186.49999999994</v>
      </c>
    </row>
    <row r="50" spans="1:12" s="7" customFormat="1" x14ac:dyDescent="0.2">
      <c r="A50" s="45" t="s">
        <v>34</v>
      </c>
      <c r="B50" s="46" t="s">
        <v>79</v>
      </c>
      <c r="C50" s="46" t="s">
        <v>73</v>
      </c>
      <c r="D50" s="47">
        <f>'прил. 8'!G1036+'прил. 8'!G1283</f>
        <v>67111.700000000012</v>
      </c>
      <c r="E50" s="47">
        <f>'прил. 8'!H1036+'прил. 8'!H1283</f>
        <v>0</v>
      </c>
      <c r="F50" s="123">
        <f t="shared" si="0"/>
        <v>67111.700000000012</v>
      </c>
      <c r="G50" s="47">
        <f>'прил. 8'!J1036+'прил. 8'!J1283</f>
        <v>0</v>
      </c>
      <c r="H50" s="123">
        <f t="shared" si="1"/>
        <v>67111.700000000012</v>
      </c>
      <c r="I50" s="47">
        <f>'прил. 8'!L1036+'прил. 8'!L1283</f>
        <v>-559.1</v>
      </c>
      <c r="J50" s="123">
        <f t="shared" si="2"/>
        <v>66552.600000000006</v>
      </c>
      <c r="K50" s="47">
        <f>'прил. 8'!N1036+'прил. 8'!N1283</f>
        <v>-188</v>
      </c>
      <c r="L50" s="123">
        <f t="shared" si="3"/>
        <v>66364.600000000006</v>
      </c>
    </row>
    <row r="51" spans="1:12" s="7" customFormat="1" ht="23.25" customHeight="1" x14ac:dyDescent="0.2">
      <c r="A51" s="50" t="s">
        <v>114</v>
      </c>
      <c r="B51" s="46" t="s">
        <v>76</v>
      </c>
      <c r="C51" s="46"/>
      <c r="D51" s="47">
        <f>SUM(D52)</f>
        <v>1155.8</v>
      </c>
      <c r="E51" s="47">
        <f>SUM(E52)</f>
        <v>0</v>
      </c>
      <c r="F51" s="123">
        <f t="shared" si="0"/>
        <v>1155.8</v>
      </c>
      <c r="G51" s="47">
        <f>SUM(G52)</f>
        <v>0</v>
      </c>
      <c r="H51" s="123">
        <f t="shared" si="1"/>
        <v>1155.8</v>
      </c>
      <c r="I51" s="47">
        <f>SUM(I52)</f>
        <v>0</v>
      </c>
      <c r="J51" s="123">
        <f t="shared" si="2"/>
        <v>1155.8</v>
      </c>
      <c r="K51" s="47">
        <f>SUM(K52)</f>
        <v>0</v>
      </c>
      <c r="L51" s="123">
        <f t="shared" si="3"/>
        <v>1155.8</v>
      </c>
    </row>
    <row r="52" spans="1:12" s="7" customFormat="1" x14ac:dyDescent="0.2">
      <c r="A52" s="51" t="s">
        <v>113</v>
      </c>
      <c r="B52" s="46" t="s">
        <v>76</v>
      </c>
      <c r="C52" s="46" t="s">
        <v>60</v>
      </c>
      <c r="D52" s="47">
        <f>'прил. 8'!G603</f>
        <v>1155.8</v>
      </c>
      <c r="E52" s="47">
        <f>'прил. 8'!H603</f>
        <v>0</v>
      </c>
      <c r="F52" s="123">
        <f t="shared" si="0"/>
        <v>1155.8</v>
      </c>
      <c r="G52" s="47">
        <f>'прил. 8'!J603</f>
        <v>0</v>
      </c>
      <c r="H52" s="123">
        <f t="shared" si="1"/>
        <v>1155.8</v>
      </c>
      <c r="I52" s="47">
        <f>'прил. 8'!L603</f>
        <v>0</v>
      </c>
      <c r="J52" s="123">
        <f t="shared" si="2"/>
        <v>1155.8</v>
      </c>
      <c r="K52" s="47">
        <f>'прил. 8'!N603</f>
        <v>0</v>
      </c>
      <c r="L52" s="123">
        <f t="shared" si="3"/>
        <v>1155.8</v>
      </c>
    </row>
    <row r="53" spans="1:12" ht="23.25" customHeight="1" x14ac:dyDescent="0.2">
      <c r="A53" s="45" t="s">
        <v>52</v>
      </c>
      <c r="B53" s="46" t="s">
        <v>53</v>
      </c>
      <c r="C53" s="46"/>
      <c r="D53" s="47">
        <f>SUM(D54:D57)</f>
        <v>245120.6</v>
      </c>
      <c r="E53" s="47">
        <f>SUM(E54:E57)</f>
        <v>0</v>
      </c>
      <c r="F53" s="123">
        <f t="shared" si="0"/>
        <v>245120.6</v>
      </c>
      <c r="G53" s="47">
        <f>SUM(G54:G57)</f>
        <v>-1910.2</v>
      </c>
      <c r="H53" s="123">
        <f t="shared" si="1"/>
        <v>243210.4</v>
      </c>
      <c r="I53" s="47">
        <f>SUM(I54:I57)</f>
        <v>6273.5</v>
      </c>
      <c r="J53" s="123">
        <f t="shared" si="2"/>
        <v>249483.9</v>
      </c>
      <c r="K53" s="47">
        <f>SUM(K54:K57)</f>
        <v>4620.2000000000007</v>
      </c>
      <c r="L53" s="123">
        <f t="shared" si="3"/>
        <v>254104.1</v>
      </c>
    </row>
    <row r="54" spans="1:12" x14ac:dyDescent="0.2">
      <c r="A54" s="45" t="s">
        <v>50</v>
      </c>
      <c r="B54" s="46" t="s">
        <v>53</v>
      </c>
      <c r="C54" s="46" t="s">
        <v>70</v>
      </c>
      <c r="D54" s="47">
        <f>'прил. 8'!G358</f>
        <v>15438.4</v>
      </c>
      <c r="E54" s="47">
        <f>'прил. 8'!H358</f>
        <v>0</v>
      </c>
      <c r="F54" s="123">
        <f t="shared" si="0"/>
        <v>15438.4</v>
      </c>
      <c r="G54" s="47">
        <f>'прил. 8'!J358</f>
        <v>0</v>
      </c>
      <c r="H54" s="123">
        <f t="shared" si="1"/>
        <v>15438.4</v>
      </c>
      <c r="I54" s="47">
        <f>'прил. 8'!L358</f>
        <v>5000</v>
      </c>
      <c r="J54" s="123">
        <f t="shared" si="2"/>
        <v>20438.400000000001</v>
      </c>
      <c r="K54" s="47">
        <f>'прил. 8'!N358</f>
        <v>0</v>
      </c>
      <c r="L54" s="123">
        <f t="shared" si="3"/>
        <v>20438.400000000001</v>
      </c>
    </row>
    <row r="55" spans="1:12" x14ac:dyDescent="0.2">
      <c r="A55" s="45" t="s">
        <v>44</v>
      </c>
      <c r="B55" s="46" t="s">
        <v>53</v>
      </c>
      <c r="C55" s="46" t="s">
        <v>72</v>
      </c>
      <c r="D55" s="47">
        <f>'прил. 8'!G366+'прил. 8'!G611+'прил. 8'!G865</f>
        <v>96502</v>
      </c>
      <c r="E55" s="47">
        <f>'прил. 8'!H366+'прил. 8'!H611+'прил. 8'!H865</f>
        <v>0</v>
      </c>
      <c r="F55" s="123">
        <f t="shared" si="0"/>
        <v>96502</v>
      </c>
      <c r="G55" s="47">
        <f>'прил. 8'!J366+'прил. 8'!J611+'прил. 8'!J865</f>
        <v>-1910.2</v>
      </c>
      <c r="H55" s="123">
        <f t="shared" si="1"/>
        <v>94591.8</v>
      </c>
      <c r="I55" s="47">
        <f>'прил. 8'!L366+'прил. 8'!L611+'прил. 8'!L865</f>
        <v>1273.5</v>
      </c>
      <c r="J55" s="123">
        <f t="shared" si="2"/>
        <v>95865.3</v>
      </c>
      <c r="K55" s="47">
        <f>'прил. 8'!N366+'прил. 8'!N611+'прил. 8'!N865</f>
        <v>4620.2000000000007</v>
      </c>
      <c r="L55" s="123">
        <f t="shared" si="3"/>
        <v>100485.5</v>
      </c>
    </row>
    <row r="56" spans="1:12" x14ac:dyDescent="0.2">
      <c r="A56" s="50" t="s">
        <v>66</v>
      </c>
      <c r="B56" s="46" t="s">
        <v>53</v>
      </c>
      <c r="C56" s="46" t="s">
        <v>73</v>
      </c>
      <c r="D56" s="47">
        <f>'прил. 8'!G876+'прил. 8'!G427</f>
        <v>112538.3</v>
      </c>
      <c r="E56" s="47">
        <f>'прил. 8'!H876+'прил. 8'!H427</f>
        <v>0</v>
      </c>
      <c r="F56" s="123">
        <f t="shared" si="0"/>
        <v>112538.3</v>
      </c>
      <c r="G56" s="47">
        <f>'прил. 8'!J876+'прил. 8'!J427</f>
        <v>0</v>
      </c>
      <c r="H56" s="123">
        <f t="shared" si="1"/>
        <v>112538.3</v>
      </c>
      <c r="I56" s="47">
        <f>'прил. 8'!L876+'прил. 8'!L427</f>
        <v>0</v>
      </c>
      <c r="J56" s="123">
        <f t="shared" si="2"/>
        <v>112538.3</v>
      </c>
      <c r="K56" s="47">
        <f>'прил. 8'!N876+'прил. 8'!N427</f>
        <v>0</v>
      </c>
      <c r="L56" s="123">
        <f t="shared" si="3"/>
        <v>112538.3</v>
      </c>
    </row>
    <row r="57" spans="1:12" x14ac:dyDescent="0.2">
      <c r="A57" s="45" t="s">
        <v>54</v>
      </c>
      <c r="B57" s="46" t="s">
        <v>53</v>
      </c>
      <c r="C57" s="46" t="s">
        <v>74</v>
      </c>
      <c r="D57" s="47">
        <f>'прил. 8'!G432+'прил. 8'!G1290</f>
        <v>20641.899999999998</v>
      </c>
      <c r="E57" s="47">
        <f>'прил. 8'!H432+'прил. 8'!H1290</f>
        <v>0</v>
      </c>
      <c r="F57" s="123">
        <f t="shared" si="0"/>
        <v>20641.899999999998</v>
      </c>
      <c r="G57" s="47">
        <f>'прил. 8'!J432+'прил. 8'!J1290</f>
        <v>0</v>
      </c>
      <c r="H57" s="123">
        <f t="shared" si="1"/>
        <v>20641.899999999998</v>
      </c>
      <c r="I57" s="47">
        <f>'прил. 8'!L432+'прил. 8'!L1290</f>
        <v>0</v>
      </c>
      <c r="J57" s="123">
        <f t="shared" si="2"/>
        <v>20641.899999999998</v>
      </c>
      <c r="K57" s="47">
        <f>'прил. 8'!N432+'прил. 8'!N1290</f>
        <v>0</v>
      </c>
      <c r="L57" s="123">
        <f t="shared" si="3"/>
        <v>20641.899999999998</v>
      </c>
    </row>
    <row r="58" spans="1:12" ht="24.75" customHeight="1" x14ac:dyDescent="0.2">
      <c r="A58" s="45" t="s">
        <v>56</v>
      </c>
      <c r="B58" s="46" t="s">
        <v>81</v>
      </c>
      <c r="C58" s="46"/>
      <c r="D58" s="47">
        <f>SUM(D59:D61)</f>
        <v>194743.5</v>
      </c>
      <c r="E58" s="47">
        <f>SUM(E59:E61)</f>
        <v>0</v>
      </c>
      <c r="F58" s="123">
        <f t="shared" si="0"/>
        <v>194743.5</v>
      </c>
      <c r="G58" s="47">
        <f>SUM(G59:G61)</f>
        <v>0</v>
      </c>
      <c r="H58" s="123">
        <f t="shared" si="1"/>
        <v>194743.5</v>
      </c>
      <c r="I58" s="47">
        <f>SUM(I59:I61)</f>
        <v>0</v>
      </c>
      <c r="J58" s="123">
        <f t="shared" si="2"/>
        <v>194743.5</v>
      </c>
      <c r="K58" s="47">
        <f>SUM(K59:K61)</f>
        <v>0</v>
      </c>
      <c r="L58" s="123">
        <f t="shared" si="3"/>
        <v>194743.5</v>
      </c>
    </row>
    <row r="59" spans="1:12" x14ac:dyDescent="0.2">
      <c r="A59" s="45" t="s">
        <v>51</v>
      </c>
      <c r="B59" s="46" t="s">
        <v>81</v>
      </c>
      <c r="C59" s="46" t="s">
        <v>70</v>
      </c>
      <c r="D59" s="47">
        <f>'прил. 8'!G1066</f>
        <v>56963.1</v>
      </c>
      <c r="E59" s="47">
        <f>'прил. 8'!H1066</f>
        <v>0</v>
      </c>
      <c r="F59" s="123">
        <f t="shared" si="0"/>
        <v>56963.1</v>
      </c>
      <c r="G59" s="47">
        <f>'прил. 8'!J1066</f>
        <v>0</v>
      </c>
      <c r="H59" s="123">
        <f t="shared" si="1"/>
        <v>56963.1</v>
      </c>
      <c r="I59" s="47">
        <f>'прил. 8'!L1066</f>
        <v>0</v>
      </c>
      <c r="J59" s="123">
        <f t="shared" si="2"/>
        <v>56963.1</v>
      </c>
      <c r="K59" s="47">
        <f>'прил. 8'!N1066</f>
        <v>0</v>
      </c>
      <c r="L59" s="123">
        <f t="shared" si="3"/>
        <v>56963.1</v>
      </c>
    </row>
    <row r="60" spans="1:12" x14ac:dyDescent="0.2">
      <c r="A60" s="45" t="s">
        <v>606</v>
      </c>
      <c r="B60" s="46" t="s">
        <v>81</v>
      </c>
      <c r="C60" s="46" t="s">
        <v>72</v>
      </c>
      <c r="D60" s="47">
        <f>'прил. 8'!G1079</f>
        <v>1986.4</v>
      </c>
      <c r="E60" s="47">
        <f>'прил. 8'!H1079</f>
        <v>0</v>
      </c>
      <c r="F60" s="123">
        <f t="shared" si="0"/>
        <v>1986.4</v>
      </c>
      <c r="G60" s="47">
        <f>'прил. 8'!J1079</f>
        <v>0</v>
      </c>
      <c r="H60" s="123">
        <f t="shared" si="1"/>
        <v>1986.4</v>
      </c>
      <c r="I60" s="47">
        <f>'прил. 8'!L1079</f>
        <v>0</v>
      </c>
      <c r="J60" s="123">
        <f t="shared" si="2"/>
        <v>1986.4</v>
      </c>
      <c r="K60" s="47">
        <f>'прил. 8'!N1079</f>
        <v>0</v>
      </c>
      <c r="L60" s="123">
        <f t="shared" si="3"/>
        <v>1986.4</v>
      </c>
    </row>
    <row r="61" spans="1:12" x14ac:dyDescent="0.2">
      <c r="A61" s="45" t="s">
        <v>57</v>
      </c>
      <c r="B61" s="46" t="s">
        <v>81</v>
      </c>
      <c r="C61" s="46" t="s">
        <v>78</v>
      </c>
      <c r="D61" s="47">
        <f>'прил. 8'!G1084</f>
        <v>135794</v>
      </c>
      <c r="E61" s="47">
        <f>'прил. 8'!H1084</f>
        <v>0</v>
      </c>
      <c r="F61" s="123">
        <f t="shared" si="0"/>
        <v>135794</v>
      </c>
      <c r="G61" s="47">
        <f>'прил. 8'!J1084</f>
        <v>0</v>
      </c>
      <c r="H61" s="123">
        <f t="shared" si="1"/>
        <v>135794</v>
      </c>
      <c r="I61" s="47">
        <f>'прил. 8'!L1084</f>
        <v>0</v>
      </c>
      <c r="J61" s="123">
        <f t="shared" si="2"/>
        <v>135794</v>
      </c>
      <c r="K61" s="47">
        <f>'прил. 8'!N1084</f>
        <v>0</v>
      </c>
      <c r="L61" s="123">
        <f t="shared" si="3"/>
        <v>135794</v>
      </c>
    </row>
    <row r="62" spans="1:12" ht="21" customHeight="1" x14ac:dyDescent="0.2">
      <c r="A62" s="45" t="s">
        <v>58</v>
      </c>
      <c r="B62" s="46" t="s">
        <v>61</v>
      </c>
      <c r="C62" s="46"/>
      <c r="D62" s="47">
        <f>SUM(D63)</f>
        <v>54235.8</v>
      </c>
      <c r="E62" s="47">
        <f>SUM(E63)</f>
        <v>0</v>
      </c>
      <c r="F62" s="123">
        <f t="shared" si="0"/>
        <v>54235.8</v>
      </c>
      <c r="G62" s="47">
        <f>SUM(G63)</f>
        <v>0</v>
      </c>
      <c r="H62" s="123">
        <f t="shared" si="1"/>
        <v>54235.8</v>
      </c>
      <c r="I62" s="47">
        <f>SUM(I63)</f>
        <v>942.4</v>
      </c>
      <c r="J62" s="123">
        <f t="shared" si="2"/>
        <v>55178.200000000004</v>
      </c>
      <c r="K62" s="47">
        <f>SUM(K63)</f>
        <v>0</v>
      </c>
      <c r="L62" s="123">
        <f t="shared" si="3"/>
        <v>55178.200000000004</v>
      </c>
    </row>
    <row r="63" spans="1:12" x14ac:dyDescent="0.2">
      <c r="A63" s="45" t="s">
        <v>62</v>
      </c>
      <c r="B63" s="46" t="s">
        <v>61</v>
      </c>
      <c r="C63" s="46" t="s">
        <v>71</v>
      </c>
      <c r="D63" s="47">
        <f>'прил. 8'!G443</f>
        <v>54235.8</v>
      </c>
      <c r="E63" s="47">
        <f>'прил. 8'!H443</f>
        <v>0</v>
      </c>
      <c r="F63" s="123">
        <f t="shared" si="0"/>
        <v>54235.8</v>
      </c>
      <c r="G63" s="47">
        <f>'прил. 8'!J443</f>
        <v>0</v>
      </c>
      <c r="H63" s="123">
        <f t="shared" si="1"/>
        <v>54235.8</v>
      </c>
      <c r="I63" s="47">
        <f>'прил. 8'!L443</f>
        <v>942.4</v>
      </c>
      <c r="J63" s="123">
        <f t="shared" si="2"/>
        <v>55178.200000000004</v>
      </c>
      <c r="K63" s="47">
        <f>'прил. 8'!N443</f>
        <v>0</v>
      </c>
      <c r="L63" s="123">
        <f t="shared" si="3"/>
        <v>55178.200000000004</v>
      </c>
    </row>
    <row r="64" spans="1:12" ht="25.5" customHeight="1" x14ac:dyDescent="0.2">
      <c r="A64" s="45" t="s">
        <v>59</v>
      </c>
      <c r="B64" s="46" t="s">
        <v>55</v>
      </c>
      <c r="C64" s="46"/>
      <c r="D64" s="47">
        <f>SUM(D65)</f>
        <v>87571</v>
      </c>
      <c r="E64" s="47">
        <f>SUM(E65)</f>
        <v>0</v>
      </c>
      <c r="F64" s="123">
        <f t="shared" si="0"/>
        <v>87571</v>
      </c>
      <c r="G64" s="47">
        <f>SUM(G65)</f>
        <v>0</v>
      </c>
      <c r="H64" s="123">
        <f t="shared" si="1"/>
        <v>87571</v>
      </c>
      <c r="I64" s="47">
        <f>SUM(I65)</f>
        <v>0</v>
      </c>
      <c r="J64" s="123">
        <f t="shared" si="2"/>
        <v>87571</v>
      </c>
      <c r="K64" s="47">
        <f>SUM(K65)</f>
        <v>0</v>
      </c>
      <c r="L64" s="123">
        <f t="shared" si="3"/>
        <v>87571</v>
      </c>
    </row>
    <row r="65" spans="1:12" x14ac:dyDescent="0.2">
      <c r="A65" s="45" t="s">
        <v>110</v>
      </c>
      <c r="B65" s="46" t="s">
        <v>55</v>
      </c>
      <c r="C65" s="46" t="s">
        <v>70</v>
      </c>
      <c r="D65" s="47">
        <f>'прил. 8'!G939</f>
        <v>87571</v>
      </c>
      <c r="E65" s="47">
        <f>'прил. 8'!H939</f>
        <v>0</v>
      </c>
      <c r="F65" s="123">
        <f t="shared" si="0"/>
        <v>87571</v>
      </c>
      <c r="G65" s="47">
        <f>'прил. 8'!J939</f>
        <v>0</v>
      </c>
      <c r="H65" s="123">
        <f t="shared" si="1"/>
        <v>87571</v>
      </c>
      <c r="I65" s="47">
        <f>'прил. 8'!L939</f>
        <v>0</v>
      </c>
      <c r="J65" s="123">
        <f t="shared" si="2"/>
        <v>87571</v>
      </c>
      <c r="K65" s="47">
        <f>'прил. 8'!N939</f>
        <v>0</v>
      </c>
      <c r="L65" s="123">
        <f t="shared" si="3"/>
        <v>87571</v>
      </c>
    </row>
    <row r="66" spans="1:12" hidden="1" x14ac:dyDescent="0.2">
      <c r="A66" s="52" t="s">
        <v>490</v>
      </c>
      <c r="B66" s="46"/>
      <c r="C66" s="46"/>
      <c r="D66" s="47">
        <f>D19+D27+D29+D35+D39+D41+D48+D51+D53+D58+D62+D64</f>
        <v>7295499.4999999991</v>
      </c>
      <c r="E66" s="47">
        <f>E19+E27+E29+E35+E39+E41+E48+E51+E53+E58+E62+E64</f>
        <v>7140.4000000000015</v>
      </c>
      <c r="F66" s="123">
        <f t="shared" si="0"/>
        <v>7302639.8999999994</v>
      </c>
      <c r="G66" s="47">
        <f>G19+G27+G29+G35+G39+G41+G48+G51+G53+G58+G62+G64</f>
        <v>-41335.200000000004</v>
      </c>
      <c r="H66" s="123">
        <f t="shared" si="1"/>
        <v>7261304.6999999993</v>
      </c>
      <c r="I66" s="47">
        <f>I19+I27+I29+I35+I39+I41+I48+I51+I53+I58+I62+I64</f>
        <v>373651.7</v>
      </c>
      <c r="J66" s="123">
        <f t="shared" si="2"/>
        <v>7634956.3999999994</v>
      </c>
      <c r="K66" s="47">
        <f>K19+K27+K29+K35+K39+K41+K48+K51+K53+K58+K62+K64</f>
        <v>140046.60000000003</v>
      </c>
      <c r="L66" s="123">
        <f t="shared" si="3"/>
        <v>7775002.9999999991</v>
      </c>
    </row>
    <row r="67" spans="1:12" hidden="1" x14ac:dyDescent="0.2">
      <c r="A67" s="52" t="s">
        <v>489</v>
      </c>
      <c r="B67" s="46"/>
      <c r="C67" s="46"/>
      <c r="D67" s="47"/>
      <c r="E67" s="47"/>
      <c r="F67" s="123">
        <f t="shared" si="0"/>
        <v>0</v>
      </c>
      <c r="G67" s="47"/>
      <c r="H67" s="123">
        <f t="shared" si="1"/>
        <v>0</v>
      </c>
      <c r="I67" s="47"/>
      <c r="J67" s="123">
        <f t="shared" si="2"/>
        <v>0</v>
      </c>
      <c r="K67" s="47"/>
      <c r="L67" s="123">
        <f t="shared" si="3"/>
        <v>0</v>
      </c>
    </row>
    <row r="68" spans="1:12" x14ac:dyDescent="0.2">
      <c r="A68" s="52" t="s">
        <v>37</v>
      </c>
      <c r="B68" s="46"/>
      <c r="C68" s="46"/>
      <c r="D68" s="47">
        <f>D66+D67</f>
        <v>7295499.4999999991</v>
      </c>
      <c r="E68" s="47">
        <f>E66+E67</f>
        <v>7140.4000000000015</v>
      </c>
      <c r="F68" s="123">
        <f t="shared" si="0"/>
        <v>7302639.8999999994</v>
      </c>
      <c r="G68" s="47">
        <f>G66+G67</f>
        <v>-41335.200000000004</v>
      </c>
      <c r="H68" s="123">
        <f t="shared" si="1"/>
        <v>7261304.6999999993</v>
      </c>
      <c r="I68" s="47">
        <f>I66+I67</f>
        <v>373651.7</v>
      </c>
      <c r="J68" s="123">
        <f t="shared" si="2"/>
        <v>7634956.3999999994</v>
      </c>
      <c r="K68" s="47">
        <f>K66+K67</f>
        <v>140046.60000000003</v>
      </c>
      <c r="L68" s="123">
        <f t="shared" si="3"/>
        <v>7775002.9999999991</v>
      </c>
    </row>
    <row r="70" spans="1:12" x14ac:dyDescent="0.2">
      <c r="A70" s="86"/>
      <c r="B70" s="86"/>
      <c r="C70" s="86"/>
      <c r="K70" s="148">
        <f>K68-'прил. 6'!M1466</f>
        <v>0</v>
      </c>
      <c r="L70" s="148">
        <f>L68-'прил. 6'!N1466</f>
        <v>0</v>
      </c>
    </row>
    <row r="71" spans="1:12" x14ac:dyDescent="0.2">
      <c r="A71" s="86"/>
      <c r="B71" s="86"/>
      <c r="C71" s="86"/>
    </row>
    <row r="72" spans="1:12" x14ac:dyDescent="0.2">
      <c r="A72" s="86"/>
      <c r="B72" s="86"/>
      <c r="C72" s="86"/>
    </row>
    <row r="73" spans="1:12" x14ac:dyDescent="0.2">
      <c r="A73" s="86"/>
      <c r="B73" s="86"/>
      <c r="C73" s="86"/>
    </row>
    <row r="74" spans="1:12" x14ac:dyDescent="0.2">
      <c r="A74" s="86"/>
      <c r="B74" s="86"/>
      <c r="C74" s="86"/>
    </row>
    <row r="75" spans="1:12" x14ac:dyDescent="0.2">
      <c r="A75" s="86"/>
      <c r="B75" s="86"/>
      <c r="C75" s="86"/>
    </row>
    <row r="76" spans="1:12" x14ac:dyDescent="0.2">
      <c r="A76" s="86"/>
      <c r="B76" s="86"/>
      <c r="C76" s="86"/>
    </row>
  </sheetData>
  <mergeCells count="11">
    <mergeCell ref="F1:L1"/>
    <mergeCell ref="F2:L2"/>
    <mergeCell ref="F3:L3"/>
    <mergeCell ref="F4:L4"/>
    <mergeCell ref="F7:L7"/>
    <mergeCell ref="A15:C15"/>
    <mergeCell ref="F8:L8"/>
    <mergeCell ref="F9:L9"/>
    <mergeCell ref="F10:L10"/>
    <mergeCell ref="A13:L13"/>
    <mergeCell ref="A14:L14"/>
  </mergeCells>
  <phoneticPr fontId="0" type="noConversion"/>
  <pageMargins left="1.1811023622047245" right="0.39370078740157483" top="0.78740157480314965" bottom="0.78740157480314965" header="0.19685039370078741" footer="0.19685039370078741"/>
  <pageSetup paperSize="9" scale="47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N1683"/>
  <sheetViews>
    <sheetView showZeros="0" view="pageBreakPreview" zoomScale="80" zoomScaleNormal="80" zoomScaleSheetLayoutView="80" workbookViewId="0">
      <selection activeCell="H1" sqref="H1:N1"/>
    </sheetView>
  </sheetViews>
  <sheetFormatPr defaultColWidth="9.140625" defaultRowHeight="16.5" x14ac:dyDescent="0.2"/>
  <cols>
    <col min="1" max="1" width="82.28515625" style="30" customWidth="1"/>
    <col min="2" max="2" width="17.7109375" style="27" customWidth="1"/>
    <col min="3" max="3" width="9.7109375" style="27" customWidth="1"/>
    <col min="4" max="4" width="8.85546875" style="27" customWidth="1"/>
    <col min="5" max="5" width="9.85546875" style="27" customWidth="1"/>
    <col min="6" max="6" width="23.42578125" style="110" hidden="1" customWidth="1"/>
    <col min="7" max="7" width="15.5703125" style="27" hidden="1" customWidth="1"/>
    <col min="8" max="8" width="18" style="27" hidden="1" customWidth="1"/>
    <col min="9" max="9" width="18.5703125" style="27" hidden="1" customWidth="1"/>
    <col min="10" max="10" width="27.28515625" style="27" hidden="1" customWidth="1"/>
    <col min="11" max="11" width="16.7109375" style="27" hidden="1" customWidth="1"/>
    <col min="12" max="12" width="23.7109375" style="27" customWidth="1"/>
    <col min="13" max="13" width="16.7109375" style="27" customWidth="1"/>
    <col min="14" max="14" width="20.42578125" style="27" customWidth="1"/>
    <col min="15" max="16384" width="9.140625" style="27"/>
  </cols>
  <sheetData>
    <row r="1" spans="1:14" x14ac:dyDescent="0.2">
      <c r="H1" s="153" t="s">
        <v>693</v>
      </c>
      <c r="I1" s="157"/>
      <c r="J1" s="157"/>
      <c r="K1" s="157"/>
      <c r="L1" s="157"/>
      <c r="M1" s="157"/>
      <c r="N1" s="157"/>
    </row>
    <row r="2" spans="1:14" x14ac:dyDescent="0.2">
      <c r="H2" s="153" t="s">
        <v>115</v>
      </c>
      <c r="I2" s="157"/>
      <c r="J2" s="157"/>
      <c r="K2" s="157"/>
      <c r="L2" s="157"/>
      <c r="M2" s="157"/>
      <c r="N2" s="157"/>
    </row>
    <row r="3" spans="1:14" x14ac:dyDescent="0.2">
      <c r="H3" s="153" t="s">
        <v>108</v>
      </c>
      <c r="I3" s="157"/>
      <c r="J3" s="157"/>
      <c r="K3" s="157"/>
      <c r="L3" s="157"/>
      <c r="M3" s="157"/>
      <c r="N3" s="157"/>
    </row>
    <row r="4" spans="1:14" x14ac:dyDescent="0.2">
      <c r="H4" s="153" t="s">
        <v>659</v>
      </c>
      <c r="I4" s="157"/>
      <c r="J4" s="157"/>
      <c r="K4" s="157"/>
      <c r="L4" s="157"/>
      <c r="M4" s="157"/>
      <c r="N4" s="157"/>
    </row>
    <row r="7" spans="1:14" x14ac:dyDescent="0.2">
      <c r="H7" s="153" t="s">
        <v>492</v>
      </c>
      <c r="I7" s="157"/>
      <c r="J7" s="157"/>
      <c r="K7" s="157"/>
      <c r="L7" s="157"/>
      <c r="M7" s="157"/>
      <c r="N7" s="157"/>
    </row>
    <row r="8" spans="1:14" x14ac:dyDescent="0.2">
      <c r="H8" s="153" t="s">
        <v>115</v>
      </c>
      <c r="I8" s="157"/>
      <c r="J8" s="157"/>
      <c r="K8" s="157"/>
      <c r="L8" s="157"/>
      <c r="M8" s="157"/>
      <c r="N8" s="157"/>
    </row>
    <row r="9" spans="1:14" x14ac:dyDescent="0.2">
      <c r="H9" s="153" t="s">
        <v>108</v>
      </c>
      <c r="I9" s="157"/>
      <c r="J9" s="157"/>
      <c r="K9" s="157"/>
      <c r="L9" s="157"/>
      <c r="M9" s="157"/>
      <c r="N9" s="157"/>
    </row>
    <row r="10" spans="1:14" x14ac:dyDescent="0.2">
      <c r="H10" s="153" t="s">
        <v>656</v>
      </c>
      <c r="I10" s="157"/>
      <c r="J10" s="157"/>
      <c r="K10" s="157"/>
      <c r="L10" s="157"/>
      <c r="M10" s="157"/>
      <c r="N10" s="157"/>
    </row>
    <row r="12" spans="1:14" x14ac:dyDescent="0.2">
      <c r="E12" s="32"/>
    </row>
    <row r="13" spans="1:14" x14ac:dyDescent="0.2">
      <c r="A13" s="156" t="s">
        <v>494</v>
      </c>
      <c r="B13" s="156"/>
      <c r="C13" s="156"/>
      <c r="D13" s="156"/>
      <c r="E13" s="156"/>
      <c r="F13" s="158"/>
      <c r="G13" s="157"/>
      <c r="H13" s="157"/>
      <c r="I13" s="157"/>
      <c r="J13" s="157"/>
      <c r="K13" s="157"/>
      <c r="L13" s="157"/>
      <c r="M13" s="157"/>
      <c r="N13" s="157"/>
    </row>
    <row r="14" spans="1:14" ht="34.5" customHeight="1" x14ac:dyDescent="0.2">
      <c r="A14" s="156" t="s">
        <v>536</v>
      </c>
      <c r="B14" s="156"/>
      <c r="C14" s="156"/>
      <c r="D14" s="156"/>
      <c r="E14" s="156"/>
      <c r="F14" s="158"/>
      <c r="G14" s="157"/>
      <c r="H14" s="157"/>
      <c r="I14" s="157"/>
      <c r="J14" s="157"/>
      <c r="K14" s="157"/>
      <c r="L14" s="157"/>
      <c r="M14" s="157"/>
      <c r="N14" s="157"/>
    </row>
    <row r="15" spans="1:14" x14ac:dyDescent="0.2">
      <c r="A15" s="29"/>
      <c r="B15" s="31"/>
      <c r="C15" s="31"/>
      <c r="D15" s="31"/>
      <c r="E15" s="33"/>
      <c r="F15" s="109"/>
      <c r="H15" s="109"/>
      <c r="J15" s="109"/>
      <c r="L15" s="109"/>
      <c r="N15" s="109" t="s">
        <v>116</v>
      </c>
    </row>
    <row r="16" spans="1:14" s="150" customFormat="1" ht="36" customHeight="1" x14ac:dyDescent="0.2">
      <c r="A16" s="26" t="s">
        <v>68</v>
      </c>
      <c r="B16" s="26" t="s">
        <v>85</v>
      </c>
      <c r="C16" s="26" t="s">
        <v>648</v>
      </c>
      <c r="D16" s="26" t="s">
        <v>84</v>
      </c>
      <c r="E16" s="26" t="s">
        <v>86</v>
      </c>
      <c r="F16" s="72" t="s">
        <v>653</v>
      </c>
      <c r="G16" s="61" t="s">
        <v>652</v>
      </c>
      <c r="H16" s="61" t="s">
        <v>657</v>
      </c>
      <c r="I16" s="72" t="s">
        <v>652</v>
      </c>
      <c r="J16" s="61" t="s">
        <v>682</v>
      </c>
      <c r="K16" s="72" t="s">
        <v>652</v>
      </c>
      <c r="L16" s="61" t="s">
        <v>706</v>
      </c>
      <c r="M16" s="72" t="s">
        <v>652</v>
      </c>
      <c r="N16" s="61" t="s">
        <v>653</v>
      </c>
    </row>
    <row r="17" spans="1:14" ht="26.25" customHeight="1" x14ac:dyDescent="0.2">
      <c r="A17" s="50" t="str">
        <f ca="1">IF(ISERROR(MATCH(B17,Код_КЦСР,0)),"",INDIRECT(ADDRESS(MATCH(B17,Код_КЦСР,0)+1,2,,,"КЦСР")))</f>
        <v>Муниципальная программа «Развитие образования» на 2013 – 2022 годы</v>
      </c>
      <c r="B17" s="79" t="s">
        <v>199</v>
      </c>
      <c r="C17" s="65"/>
      <c r="D17" s="65"/>
      <c r="E17" s="26"/>
      <c r="F17" s="62">
        <f>F18+F23+F39+F48+F56+F107+F152+F182+F217</f>
        <v>3562003.7</v>
      </c>
      <c r="G17" s="62">
        <f>G18+G23+G39+G48+G56+G107+G152+G182+G217</f>
        <v>0</v>
      </c>
      <c r="H17" s="49">
        <f>F17+G17</f>
        <v>3562003.7</v>
      </c>
      <c r="I17" s="62">
        <f>I18+I23+I39+I48+I56+I107+I152+I182+I217</f>
        <v>-0.10000000000002274</v>
      </c>
      <c r="J17" s="49">
        <f>H17+I17</f>
        <v>3562003.6</v>
      </c>
      <c r="K17" s="62">
        <f>K18+K23+K39+K48+K56+K107+K152+K182+K217</f>
        <v>-1987.6000000000004</v>
      </c>
      <c r="L17" s="49">
        <f>J17+K17</f>
        <v>3560016</v>
      </c>
      <c r="M17" s="62">
        <f>M18+M23+M39+M48+M56+M107+M152+M182+M217</f>
        <v>140000</v>
      </c>
      <c r="N17" s="49">
        <f>L17+M17</f>
        <v>3700016</v>
      </c>
    </row>
    <row r="18" spans="1:14" ht="73.5" customHeight="1" x14ac:dyDescent="0.2">
      <c r="A18" s="50" t="str">
        <f ca="1">IF(ISERROR(MATCH(B18,Код_КЦСР,0)),"",INDIRECT(ADDRESS(MATCH(B18,Код_КЦСР,0)+1,2,,,"КЦСР")))</f>
        <v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v>
      </c>
      <c r="B18" s="79" t="s">
        <v>190</v>
      </c>
      <c r="C18" s="65"/>
      <c r="D18" s="46"/>
      <c r="E18" s="26"/>
      <c r="F18" s="62">
        <f>F19</f>
        <v>92.7</v>
      </c>
      <c r="G18" s="62">
        <f>G19</f>
        <v>0</v>
      </c>
      <c r="H18" s="49">
        <f t="shared" ref="H18:H84" si="0">F18+G18</f>
        <v>92.7</v>
      </c>
      <c r="I18" s="62">
        <f>I19</f>
        <v>0</v>
      </c>
      <c r="J18" s="49">
        <f t="shared" ref="J18:J84" si="1">H18+I18</f>
        <v>92.7</v>
      </c>
      <c r="K18" s="62">
        <f>K19</f>
        <v>0</v>
      </c>
      <c r="L18" s="49">
        <f t="shared" ref="L18:L84" si="2">J18+K18</f>
        <v>92.7</v>
      </c>
      <c r="M18" s="62">
        <f>M19</f>
        <v>0</v>
      </c>
      <c r="N18" s="49">
        <f t="shared" ref="N18:N81" si="3">L18+M18</f>
        <v>92.7</v>
      </c>
    </row>
    <row r="19" spans="1:14" x14ac:dyDescent="0.2">
      <c r="A19" s="50" t="str">
        <f ca="1">IF(ISERROR(MATCH(C19,Код_Раздел,0)),"",INDIRECT(ADDRESS(MATCH(C19,Код_Раздел,0)+1,2,,,"Раздел")))</f>
        <v>Образование</v>
      </c>
      <c r="B19" s="79" t="s">
        <v>190</v>
      </c>
      <c r="C19" s="65" t="s">
        <v>60</v>
      </c>
      <c r="D19" s="46"/>
      <c r="E19" s="26"/>
      <c r="F19" s="62">
        <f t="shared" ref="F19:M21" si="4">F20</f>
        <v>92.7</v>
      </c>
      <c r="G19" s="62">
        <f t="shared" si="4"/>
        <v>0</v>
      </c>
      <c r="H19" s="49">
        <f t="shared" si="0"/>
        <v>92.7</v>
      </c>
      <c r="I19" s="62">
        <f t="shared" si="4"/>
        <v>0</v>
      </c>
      <c r="J19" s="49">
        <f t="shared" si="1"/>
        <v>92.7</v>
      </c>
      <c r="K19" s="62">
        <f t="shared" si="4"/>
        <v>0</v>
      </c>
      <c r="L19" s="49">
        <f t="shared" si="2"/>
        <v>92.7</v>
      </c>
      <c r="M19" s="62">
        <f t="shared" si="4"/>
        <v>0</v>
      </c>
      <c r="N19" s="49">
        <f t="shared" si="3"/>
        <v>92.7</v>
      </c>
    </row>
    <row r="20" spans="1:14" x14ac:dyDescent="0.2">
      <c r="A20" s="45" t="s">
        <v>103</v>
      </c>
      <c r="B20" s="79" t="s">
        <v>190</v>
      </c>
      <c r="C20" s="65" t="s">
        <v>60</v>
      </c>
      <c r="D20" s="46" t="s">
        <v>76</v>
      </c>
      <c r="E20" s="26"/>
      <c r="F20" s="62">
        <f t="shared" si="4"/>
        <v>92.7</v>
      </c>
      <c r="G20" s="62">
        <f t="shared" si="4"/>
        <v>0</v>
      </c>
      <c r="H20" s="49">
        <f t="shared" si="0"/>
        <v>92.7</v>
      </c>
      <c r="I20" s="62">
        <f t="shared" si="4"/>
        <v>0</v>
      </c>
      <c r="J20" s="49">
        <f t="shared" si="1"/>
        <v>92.7</v>
      </c>
      <c r="K20" s="62">
        <f t="shared" si="4"/>
        <v>0</v>
      </c>
      <c r="L20" s="49">
        <f t="shared" si="2"/>
        <v>92.7</v>
      </c>
      <c r="M20" s="62">
        <f t="shared" si="4"/>
        <v>0</v>
      </c>
      <c r="N20" s="49">
        <f t="shared" si="3"/>
        <v>92.7</v>
      </c>
    </row>
    <row r="21" spans="1:14" ht="33" x14ac:dyDescent="0.2">
      <c r="A21" s="50" t="str">
        <f ca="1">IF(ISERROR(MATCH(E21,Код_КВР,0)),"",INDIRECT(ADDRESS(MATCH(E21,Код_КВР,0)+1,2,,,"КВР")))</f>
        <v>Закупка товаров, работ и услуг для обеспечения государственных (муниципальных) нужд</v>
      </c>
      <c r="B21" s="79" t="s">
        <v>190</v>
      </c>
      <c r="C21" s="65" t="s">
        <v>60</v>
      </c>
      <c r="D21" s="46" t="s">
        <v>76</v>
      </c>
      <c r="E21" s="26">
        <v>200</v>
      </c>
      <c r="F21" s="62">
        <f t="shared" si="4"/>
        <v>92.7</v>
      </c>
      <c r="G21" s="62">
        <f t="shared" si="4"/>
        <v>0</v>
      </c>
      <c r="H21" s="49">
        <f t="shared" si="0"/>
        <v>92.7</v>
      </c>
      <c r="I21" s="62">
        <f t="shared" si="4"/>
        <v>0</v>
      </c>
      <c r="J21" s="49">
        <f t="shared" si="1"/>
        <v>92.7</v>
      </c>
      <c r="K21" s="62">
        <f t="shared" si="4"/>
        <v>0</v>
      </c>
      <c r="L21" s="49">
        <f t="shared" si="2"/>
        <v>92.7</v>
      </c>
      <c r="M21" s="62">
        <f t="shared" si="4"/>
        <v>0</v>
      </c>
      <c r="N21" s="49">
        <f t="shared" si="3"/>
        <v>92.7</v>
      </c>
    </row>
    <row r="22" spans="1:14" ht="33" x14ac:dyDescent="0.2">
      <c r="A22" s="50" t="str">
        <f ca="1">IF(ISERROR(MATCH(E22,Код_КВР,0)),"",INDIRECT(ADDRESS(MATCH(E22,Код_КВР,0)+1,2,,,"КВР")))</f>
        <v>Иные закупки товаров, работ и услуг для обеспечения государственных (муниципальных) нужд</v>
      </c>
      <c r="B22" s="79" t="s">
        <v>190</v>
      </c>
      <c r="C22" s="65" t="s">
        <v>60</v>
      </c>
      <c r="D22" s="46" t="s">
        <v>76</v>
      </c>
      <c r="E22" s="26">
        <v>240</v>
      </c>
      <c r="F22" s="62">
        <f>'прил. 8'!G846</f>
        <v>92.7</v>
      </c>
      <c r="G22" s="62">
        <f>'прил. 8'!H846</f>
        <v>0</v>
      </c>
      <c r="H22" s="49">
        <f t="shared" si="0"/>
        <v>92.7</v>
      </c>
      <c r="I22" s="62">
        <f>'прил. 8'!J846</f>
        <v>0</v>
      </c>
      <c r="J22" s="49">
        <f t="shared" si="1"/>
        <v>92.7</v>
      </c>
      <c r="K22" s="62">
        <f>'прил. 8'!L846</f>
        <v>0</v>
      </c>
      <c r="L22" s="49">
        <f t="shared" si="2"/>
        <v>92.7</v>
      </c>
      <c r="M22" s="62">
        <f>'прил. 8'!N846</f>
        <v>0</v>
      </c>
      <c r="N22" s="49">
        <f t="shared" si="3"/>
        <v>92.7</v>
      </c>
    </row>
    <row r="23" spans="1:14" x14ac:dyDescent="0.2">
      <c r="A23" s="50" t="str">
        <f ca="1">IF(ISERROR(MATCH(B23,Код_КЦСР,0)),"",INDIRECT(ADDRESS(MATCH(B23,Код_КЦСР,0)+1,2,,,"КЦСР")))</f>
        <v>Обеспечение питанием обучающихся в МОУ</v>
      </c>
      <c r="B23" s="79" t="s">
        <v>193</v>
      </c>
      <c r="C23" s="65"/>
      <c r="D23" s="46"/>
      <c r="E23" s="26"/>
      <c r="F23" s="62">
        <f>F24+F33</f>
        <v>40055.800000000003</v>
      </c>
      <c r="G23" s="62">
        <f>G24+G33</f>
        <v>0</v>
      </c>
      <c r="H23" s="49">
        <f t="shared" si="0"/>
        <v>40055.800000000003</v>
      </c>
      <c r="I23" s="62">
        <f>I24+I33</f>
        <v>0</v>
      </c>
      <c r="J23" s="49">
        <f t="shared" si="1"/>
        <v>40055.800000000003</v>
      </c>
      <c r="K23" s="62">
        <f>K24+K33</f>
        <v>0</v>
      </c>
      <c r="L23" s="49">
        <f t="shared" si="2"/>
        <v>40055.800000000003</v>
      </c>
      <c r="M23" s="62">
        <f>M24+M33</f>
        <v>0</v>
      </c>
      <c r="N23" s="49">
        <f t="shared" si="3"/>
        <v>40055.800000000003</v>
      </c>
    </row>
    <row r="24" spans="1:14" ht="33" x14ac:dyDescent="0.2">
      <c r="A24" s="50" t="str">
        <f ca="1">IF(ISERROR(MATCH(B24,Код_КЦСР,0)),"",INDIRECT(ADDRESS(MATCH(B24,Код_КЦСР,0)+1,2,,,"КЦСР")))</f>
        <v>Обеспечение питанием обучающихся в МОУ, за счет средств городского бюджета</v>
      </c>
      <c r="B24" s="79" t="s">
        <v>191</v>
      </c>
      <c r="C24" s="65"/>
      <c r="D24" s="46"/>
      <c r="E24" s="26"/>
      <c r="F24" s="62">
        <f>F25</f>
        <v>6921.4</v>
      </c>
      <c r="G24" s="62">
        <f>G25</f>
        <v>0</v>
      </c>
      <c r="H24" s="49">
        <f t="shared" si="0"/>
        <v>6921.4</v>
      </c>
      <c r="I24" s="62">
        <f>I25</f>
        <v>0</v>
      </c>
      <c r="J24" s="49">
        <f t="shared" si="1"/>
        <v>6921.4</v>
      </c>
      <c r="K24" s="62">
        <f>K25</f>
        <v>0</v>
      </c>
      <c r="L24" s="49">
        <f t="shared" si="2"/>
        <v>6921.4</v>
      </c>
      <c r="M24" s="62">
        <f>M25</f>
        <v>0</v>
      </c>
      <c r="N24" s="49">
        <f t="shared" si="3"/>
        <v>6921.4</v>
      </c>
    </row>
    <row r="25" spans="1:14" x14ac:dyDescent="0.2">
      <c r="A25" s="50" t="str">
        <f ca="1">IF(ISERROR(MATCH(C25,Код_Раздел,0)),"",INDIRECT(ADDRESS(MATCH(C25,Код_Раздел,0)+1,2,,,"Раздел")))</f>
        <v>Образование</v>
      </c>
      <c r="B25" s="79" t="s">
        <v>191</v>
      </c>
      <c r="C25" s="65" t="s">
        <v>60</v>
      </c>
      <c r="D25" s="46"/>
      <c r="E25" s="26"/>
      <c r="F25" s="62">
        <f>F26+F30</f>
        <v>6921.4</v>
      </c>
      <c r="G25" s="62">
        <f>G26+G30</f>
        <v>0</v>
      </c>
      <c r="H25" s="49">
        <f t="shared" si="0"/>
        <v>6921.4</v>
      </c>
      <c r="I25" s="62">
        <f>I26+I30</f>
        <v>0</v>
      </c>
      <c r="J25" s="49">
        <f t="shared" si="1"/>
        <v>6921.4</v>
      </c>
      <c r="K25" s="62">
        <f>K26+K30</f>
        <v>0</v>
      </c>
      <c r="L25" s="49">
        <f t="shared" si="2"/>
        <v>6921.4</v>
      </c>
      <c r="M25" s="62">
        <f>M26+M30</f>
        <v>0</v>
      </c>
      <c r="N25" s="49">
        <f t="shared" si="3"/>
        <v>6921.4</v>
      </c>
    </row>
    <row r="26" spans="1:14" x14ac:dyDescent="0.2">
      <c r="A26" s="50" t="s">
        <v>102</v>
      </c>
      <c r="B26" s="79" t="s">
        <v>191</v>
      </c>
      <c r="C26" s="65" t="s">
        <v>60</v>
      </c>
      <c r="D26" s="46" t="s">
        <v>71</v>
      </c>
      <c r="E26" s="26"/>
      <c r="F26" s="62">
        <f>F27</f>
        <v>6921.4</v>
      </c>
      <c r="G26" s="62">
        <f>G27</f>
        <v>0</v>
      </c>
      <c r="H26" s="49">
        <f t="shared" si="0"/>
        <v>6921.4</v>
      </c>
      <c r="I26" s="62">
        <f>I27</f>
        <v>0</v>
      </c>
      <c r="J26" s="49">
        <f t="shared" si="1"/>
        <v>6921.4</v>
      </c>
      <c r="K26" s="62">
        <f>K27</f>
        <v>0</v>
      </c>
      <c r="L26" s="49">
        <f t="shared" si="2"/>
        <v>6921.4</v>
      </c>
      <c r="M26" s="62">
        <f>M27</f>
        <v>0</v>
      </c>
      <c r="N26" s="49">
        <f t="shared" si="3"/>
        <v>6921.4</v>
      </c>
    </row>
    <row r="27" spans="1:14" ht="33" x14ac:dyDescent="0.2">
      <c r="A27" s="50" t="str">
        <f ca="1">IF(ISERROR(MATCH(E27,Код_КВР,0)),"",INDIRECT(ADDRESS(MATCH(E27,Код_КВР,0)+1,2,,,"КВР")))</f>
        <v>Предоставление субсидий бюджетным, автономным учреждениям и иным некоммерческим организациям</v>
      </c>
      <c r="B27" s="79" t="s">
        <v>191</v>
      </c>
      <c r="C27" s="65" t="s">
        <v>60</v>
      </c>
      <c r="D27" s="46" t="s">
        <v>71</v>
      </c>
      <c r="E27" s="26">
        <v>600</v>
      </c>
      <c r="F27" s="62">
        <f>F28+F29</f>
        <v>6921.4</v>
      </c>
      <c r="G27" s="62">
        <f>G28+G29</f>
        <v>0</v>
      </c>
      <c r="H27" s="49">
        <f t="shared" si="0"/>
        <v>6921.4</v>
      </c>
      <c r="I27" s="62">
        <f>I28+I29</f>
        <v>0</v>
      </c>
      <c r="J27" s="49">
        <f t="shared" si="1"/>
        <v>6921.4</v>
      </c>
      <c r="K27" s="62">
        <f>K28+K29</f>
        <v>0</v>
      </c>
      <c r="L27" s="49">
        <f t="shared" si="2"/>
        <v>6921.4</v>
      </c>
      <c r="M27" s="62">
        <f>M28+M29</f>
        <v>0</v>
      </c>
      <c r="N27" s="49">
        <f t="shared" si="3"/>
        <v>6921.4</v>
      </c>
    </row>
    <row r="28" spans="1:14" x14ac:dyDescent="0.2">
      <c r="A28" s="50" t="str">
        <f ca="1">IF(ISERROR(MATCH(E28,Код_КВР,0)),"",INDIRECT(ADDRESS(MATCH(E28,Код_КВР,0)+1,2,,,"КВР")))</f>
        <v>Субсидии бюджетным учреждениям</v>
      </c>
      <c r="B28" s="79" t="s">
        <v>191</v>
      </c>
      <c r="C28" s="65" t="s">
        <v>60</v>
      </c>
      <c r="D28" s="46" t="s">
        <v>71</v>
      </c>
      <c r="E28" s="26">
        <v>610</v>
      </c>
      <c r="F28" s="62">
        <f>'прил. 8'!G713</f>
        <v>6795.2</v>
      </c>
      <c r="G28" s="62">
        <f>'прил. 8'!H713</f>
        <v>0</v>
      </c>
      <c r="H28" s="49">
        <f t="shared" si="0"/>
        <v>6795.2</v>
      </c>
      <c r="I28" s="62">
        <f>'прил. 8'!J713</f>
        <v>0</v>
      </c>
      <c r="J28" s="49">
        <f t="shared" si="1"/>
        <v>6795.2</v>
      </c>
      <c r="K28" s="62">
        <f>'прил. 8'!L713</f>
        <v>-4.9000000000000004</v>
      </c>
      <c r="L28" s="49">
        <f t="shared" si="2"/>
        <v>6790.3</v>
      </c>
      <c r="M28" s="62">
        <f>'прил. 8'!N713</f>
        <v>0</v>
      </c>
      <c r="N28" s="49">
        <f t="shared" si="3"/>
        <v>6790.3</v>
      </c>
    </row>
    <row r="29" spans="1:14" x14ac:dyDescent="0.2">
      <c r="A29" s="50" t="str">
        <f ca="1">IF(ISERROR(MATCH(E29,Код_КВР,0)),"",INDIRECT(ADDRESS(MATCH(E29,Код_КВР,0)+1,2,,,"КВР")))</f>
        <v>Субсидии автономным учреждениям</v>
      </c>
      <c r="B29" s="79" t="s">
        <v>191</v>
      </c>
      <c r="C29" s="65" t="s">
        <v>60</v>
      </c>
      <c r="D29" s="46" t="s">
        <v>71</v>
      </c>
      <c r="E29" s="26">
        <v>620</v>
      </c>
      <c r="F29" s="62">
        <f>'прил. 8'!G714</f>
        <v>126.2</v>
      </c>
      <c r="G29" s="62">
        <f>'прил. 8'!H714</f>
        <v>0</v>
      </c>
      <c r="H29" s="49">
        <f t="shared" si="0"/>
        <v>126.2</v>
      </c>
      <c r="I29" s="62">
        <f>'прил. 8'!J714</f>
        <v>0</v>
      </c>
      <c r="J29" s="49">
        <f t="shared" si="1"/>
        <v>126.2</v>
      </c>
      <c r="K29" s="62">
        <f>'прил. 8'!L714</f>
        <v>4.9000000000000004</v>
      </c>
      <c r="L29" s="49">
        <f t="shared" si="2"/>
        <v>131.1</v>
      </c>
      <c r="M29" s="62">
        <f>'прил. 8'!N714</f>
        <v>0</v>
      </c>
      <c r="N29" s="49">
        <f t="shared" si="3"/>
        <v>131.1</v>
      </c>
    </row>
    <row r="30" spans="1:14" hidden="1" x14ac:dyDescent="0.2">
      <c r="A30" s="45" t="s">
        <v>103</v>
      </c>
      <c r="B30" s="79" t="s">
        <v>191</v>
      </c>
      <c r="C30" s="65" t="s">
        <v>60</v>
      </c>
      <c r="D30" s="46" t="s">
        <v>76</v>
      </c>
      <c r="E30" s="26"/>
      <c r="F30" s="62">
        <f t="shared" ref="F30:M30" si="5">F31</f>
        <v>0</v>
      </c>
      <c r="G30" s="62">
        <f t="shared" si="5"/>
        <v>0</v>
      </c>
      <c r="H30" s="49">
        <f t="shared" si="0"/>
        <v>0</v>
      </c>
      <c r="I30" s="62">
        <f t="shared" si="5"/>
        <v>0</v>
      </c>
      <c r="J30" s="49">
        <f t="shared" si="1"/>
        <v>0</v>
      </c>
      <c r="K30" s="62">
        <f t="shared" si="5"/>
        <v>0</v>
      </c>
      <c r="L30" s="49">
        <f t="shared" si="2"/>
        <v>0</v>
      </c>
      <c r="M30" s="62">
        <f t="shared" si="5"/>
        <v>0</v>
      </c>
      <c r="N30" s="49">
        <f t="shared" si="3"/>
        <v>0</v>
      </c>
    </row>
    <row r="31" spans="1:14" ht="33" hidden="1" x14ac:dyDescent="0.2">
      <c r="A31" s="50" t="str">
        <f ca="1">IF(ISERROR(MATCH(E31,Код_КВР,0)),"",INDIRECT(ADDRESS(MATCH(E31,Код_КВР,0)+1,2,,,"КВР")))</f>
        <v>Предоставление субсидий бюджетным, автономным учреждениям и иным некоммерческим организациям</v>
      </c>
      <c r="B31" s="79" t="s">
        <v>191</v>
      </c>
      <c r="C31" s="65" t="s">
        <v>60</v>
      </c>
      <c r="D31" s="46" t="s">
        <v>76</v>
      </c>
      <c r="E31" s="26">
        <v>600</v>
      </c>
      <c r="F31" s="62">
        <f>F32</f>
        <v>0</v>
      </c>
      <c r="G31" s="62">
        <f>G32</f>
        <v>0</v>
      </c>
      <c r="H31" s="49">
        <f t="shared" si="0"/>
        <v>0</v>
      </c>
      <c r="I31" s="62">
        <f>I32</f>
        <v>0</v>
      </c>
      <c r="J31" s="49">
        <f t="shared" si="1"/>
        <v>0</v>
      </c>
      <c r="K31" s="62">
        <f>K32</f>
        <v>0</v>
      </c>
      <c r="L31" s="49">
        <f t="shared" si="2"/>
        <v>0</v>
      </c>
      <c r="M31" s="62">
        <f>M32</f>
        <v>0</v>
      </c>
      <c r="N31" s="49">
        <f t="shared" si="3"/>
        <v>0</v>
      </c>
    </row>
    <row r="32" spans="1:14" hidden="1" x14ac:dyDescent="0.2">
      <c r="A32" s="50" t="str">
        <f ca="1">IF(ISERROR(MATCH(E32,Код_КВР,0)),"",INDIRECT(ADDRESS(MATCH(E32,Код_КВР,0)+1,2,,,"КВР")))</f>
        <v>Субсидии автономным учреждениям</v>
      </c>
      <c r="B32" s="79" t="s">
        <v>191</v>
      </c>
      <c r="C32" s="65" t="s">
        <v>60</v>
      </c>
      <c r="D32" s="46" t="s">
        <v>76</v>
      </c>
      <c r="E32" s="26">
        <v>620</v>
      </c>
      <c r="F32" s="62">
        <f>'прил. 8'!G850</f>
        <v>0</v>
      </c>
      <c r="G32" s="62">
        <f>'прил. 8'!H850</f>
        <v>0</v>
      </c>
      <c r="H32" s="49">
        <f t="shared" si="0"/>
        <v>0</v>
      </c>
      <c r="I32" s="62">
        <f>'прил. 8'!J850</f>
        <v>0</v>
      </c>
      <c r="J32" s="49">
        <f t="shared" si="1"/>
        <v>0</v>
      </c>
      <c r="K32" s="62">
        <f>'прил. 8'!L850</f>
        <v>0</v>
      </c>
      <c r="L32" s="49">
        <f t="shared" si="2"/>
        <v>0</v>
      </c>
      <c r="M32" s="62">
        <f>'прил. 8'!N850</f>
        <v>0</v>
      </c>
      <c r="N32" s="49">
        <f t="shared" si="3"/>
        <v>0</v>
      </c>
    </row>
    <row r="33" spans="1:14" ht="33" x14ac:dyDescent="0.2">
      <c r="A33" s="50" t="str">
        <f ca="1">IF(ISERROR(MATCH(B33,Код_КЦСР,0)),"",INDIRECT(ADDRESS(MATCH(B33,Код_КЦСР,0)+1,2,,,"КЦСР")))</f>
        <v>Обеспечение питанием обучающихся в МОУ, за счет средств областного бюджета</v>
      </c>
      <c r="B33" s="79" t="s">
        <v>192</v>
      </c>
      <c r="C33" s="65"/>
      <c r="D33" s="46"/>
      <c r="E33" s="26"/>
      <c r="F33" s="62">
        <f t="shared" ref="F33:M35" si="6">F34</f>
        <v>33134.400000000001</v>
      </c>
      <c r="G33" s="62">
        <f t="shared" si="6"/>
        <v>0</v>
      </c>
      <c r="H33" s="49">
        <f t="shared" si="0"/>
        <v>33134.400000000001</v>
      </c>
      <c r="I33" s="62">
        <f t="shared" si="6"/>
        <v>0</v>
      </c>
      <c r="J33" s="49">
        <f t="shared" si="1"/>
        <v>33134.400000000001</v>
      </c>
      <c r="K33" s="62">
        <f t="shared" si="6"/>
        <v>0</v>
      </c>
      <c r="L33" s="49">
        <f t="shared" si="2"/>
        <v>33134.400000000001</v>
      </c>
      <c r="M33" s="62">
        <f t="shared" si="6"/>
        <v>0</v>
      </c>
      <c r="N33" s="49">
        <f t="shared" si="3"/>
        <v>33134.400000000001</v>
      </c>
    </row>
    <row r="34" spans="1:14" x14ac:dyDescent="0.2">
      <c r="A34" s="50" t="str">
        <f ca="1">IF(ISERROR(MATCH(C34,Код_Раздел,0)),"",INDIRECT(ADDRESS(MATCH(C34,Код_Раздел,0)+1,2,,,"Раздел")))</f>
        <v>Образование</v>
      </c>
      <c r="B34" s="79" t="s">
        <v>192</v>
      </c>
      <c r="C34" s="65" t="s">
        <v>60</v>
      </c>
      <c r="D34" s="46"/>
      <c r="E34" s="26"/>
      <c r="F34" s="62">
        <f t="shared" si="6"/>
        <v>33134.400000000001</v>
      </c>
      <c r="G34" s="62">
        <f t="shared" si="6"/>
        <v>0</v>
      </c>
      <c r="H34" s="49">
        <f t="shared" si="0"/>
        <v>33134.400000000001</v>
      </c>
      <c r="I34" s="62">
        <f t="shared" si="6"/>
        <v>0</v>
      </c>
      <c r="J34" s="49">
        <f t="shared" si="1"/>
        <v>33134.400000000001</v>
      </c>
      <c r="K34" s="62">
        <f t="shared" si="6"/>
        <v>0</v>
      </c>
      <c r="L34" s="49">
        <f t="shared" si="2"/>
        <v>33134.400000000001</v>
      </c>
      <c r="M34" s="62">
        <f t="shared" si="6"/>
        <v>0</v>
      </c>
      <c r="N34" s="49">
        <f t="shared" si="3"/>
        <v>33134.400000000001</v>
      </c>
    </row>
    <row r="35" spans="1:14" x14ac:dyDescent="0.2">
      <c r="A35" s="50" t="s">
        <v>102</v>
      </c>
      <c r="B35" s="79" t="s">
        <v>192</v>
      </c>
      <c r="C35" s="65" t="s">
        <v>60</v>
      </c>
      <c r="D35" s="46" t="s">
        <v>71</v>
      </c>
      <c r="E35" s="26"/>
      <c r="F35" s="62">
        <f t="shared" si="6"/>
        <v>33134.400000000001</v>
      </c>
      <c r="G35" s="62">
        <f t="shared" si="6"/>
        <v>0</v>
      </c>
      <c r="H35" s="49">
        <f t="shared" si="0"/>
        <v>33134.400000000001</v>
      </c>
      <c r="I35" s="62">
        <f t="shared" si="6"/>
        <v>0</v>
      </c>
      <c r="J35" s="49">
        <f t="shared" si="1"/>
        <v>33134.400000000001</v>
      </c>
      <c r="K35" s="62">
        <f t="shared" si="6"/>
        <v>0</v>
      </c>
      <c r="L35" s="49">
        <f t="shared" si="2"/>
        <v>33134.400000000001</v>
      </c>
      <c r="M35" s="62">
        <f t="shared" si="6"/>
        <v>0</v>
      </c>
      <c r="N35" s="49">
        <f t="shared" si="3"/>
        <v>33134.400000000001</v>
      </c>
    </row>
    <row r="36" spans="1:14" ht="33" x14ac:dyDescent="0.2">
      <c r="A36" s="50" t="str">
        <f ca="1">IF(ISERROR(MATCH(E36,Код_КВР,0)),"",INDIRECT(ADDRESS(MATCH(E36,Код_КВР,0)+1,2,,,"КВР")))</f>
        <v>Предоставление субсидий бюджетным, автономным учреждениям и иным некоммерческим организациям</v>
      </c>
      <c r="B36" s="79" t="s">
        <v>192</v>
      </c>
      <c r="C36" s="65" t="s">
        <v>60</v>
      </c>
      <c r="D36" s="46" t="s">
        <v>71</v>
      </c>
      <c r="E36" s="26">
        <v>600</v>
      </c>
      <c r="F36" s="62">
        <f>F37+F38</f>
        <v>33134.400000000001</v>
      </c>
      <c r="G36" s="62">
        <f>G37+G38</f>
        <v>0</v>
      </c>
      <c r="H36" s="49">
        <f t="shared" si="0"/>
        <v>33134.400000000001</v>
      </c>
      <c r="I36" s="62">
        <f>I37+I38</f>
        <v>0</v>
      </c>
      <c r="J36" s="49">
        <f t="shared" si="1"/>
        <v>33134.400000000001</v>
      </c>
      <c r="K36" s="62">
        <f>K37+K38</f>
        <v>0</v>
      </c>
      <c r="L36" s="49">
        <f t="shared" si="2"/>
        <v>33134.400000000001</v>
      </c>
      <c r="M36" s="62">
        <f>M37+M38</f>
        <v>0</v>
      </c>
      <c r="N36" s="49">
        <f t="shared" si="3"/>
        <v>33134.400000000001</v>
      </c>
    </row>
    <row r="37" spans="1:14" x14ac:dyDescent="0.2">
      <c r="A37" s="50" t="str">
        <f ca="1">IF(ISERROR(MATCH(E37,Код_КВР,0)),"",INDIRECT(ADDRESS(MATCH(E37,Код_КВР,0)+1,2,,,"КВР")))</f>
        <v>Субсидии бюджетным учреждениям</v>
      </c>
      <c r="B37" s="79" t="s">
        <v>192</v>
      </c>
      <c r="C37" s="65" t="s">
        <v>60</v>
      </c>
      <c r="D37" s="46" t="s">
        <v>71</v>
      </c>
      <c r="E37" s="26">
        <v>610</v>
      </c>
      <c r="F37" s="62">
        <f>'прил. 8'!G717</f>
        <v>32682.400000000001</v>
      </c>
      <c r="G37" s="62">
        <f>'прил. 8'!H717</f>
        <v>0</v>
      </c>
      <c r="H37" s="49">
        <f t="shared" si="0"/>
        <v>32682.400000000001</v>
      </c>
      <c r="I37" s="62">
        <f>'прил. 8'!J717</f>
        <v>0</v>
      </c>
      <c r="J37" s="49">
        <f t="shared" si="1"/>
        <v>32682.400000000001</v>
      </c>
      <c r="K37" s="62">
        <f>'прил. 8'!L717</f>
        <v>-17.899999999999999</v>
      </c>
      <c r="L37" s="49">
        <f t="shared" si="2"/>
        <v>32664.5</v>
      </c>
      <c r="M37" s="62">
        <f>'прил. 8'!N717</f>
        <v>0</v>
      </c>
      <c r="N37" s="49">
        <f t="shared" si="3"/>
        <v>32664.5</v>
      </c>
    </row>
    <row r="38" spans="1:14" x14ac:dyDescent="0.2">
      <c r="A38" s="50" t="str">
        <f ca="1">IF(ISERROR(MATCH(E38,Код_КВР,0)),"",INDIRECT(ADDRESS(MATCH(E38,Код_КВР,0)+1,2,,,"КВР")))</f>
        <v>Субсидии автономным учреждениям</v>
      </c>
      <c r="B38" s="79" t="s">
        <v>192</v>
      </c>
      <c r="C38" s="65" t="s">
        <v>60</v>
      </c>
      <c r="D38" s="46" t="s">
        <v>71</v>
      </c>
      <c r="E38" s="26">
        <v>620</v>
      </c>
      <c r="F38" s="62">
        <f>'прил. 8'!G718</f>
        <v>452</v>
      </c>
      <c r="G38" s="62">
        <f>'прил. 8'!H718</f>
        <v>0</v>
      </c>
      <c r="H38" s="49">
        <f t="shared" si="0"/>
        <v>452</v>
      </c>
      <c r="I38" s="62">
        <f>'прил. 8'!J718</f>
        <v>0</v>
      </c>
      <c r="J38" s="49">
        <f t="shared" si="1"/>
        <v>452</v>
      </c>
      <c r="K38" s="62">
        <f>'прил. 8'!L718</f>
        <v>17.899999999999999</v>
      </c>
      <c r="L38" s="49">
        <f t="shared" si="2"/>
        <v>469.9</v>
      </c>
      <c r="M38" s="62">
        <f>'прил. 8'!N718</f>
        <v>0</v>
      </c>
      <c r="N38" s="49">
        <f t="shared" si="3"/>
        <v>469.9</v>
      </c>
    </row>
    <row r="39" spans="1:14" ht="33" x14ac:dyDescent="0.2">
      <c r="A39" s="50" t="str">
        <f ca="1">IF(ISERROR(MATCH(B39,Код_КЦСР,0)),"",INDIRECT(ADDRESS(MATCH(B39,Код_КЦСР,0)+1,2,,,"КЦСР")))</f>
        <v>Обеспечение работы по организации и ведению бухгалтерского (бюджетного) учета и отчетности</v>
      </c>
      <c r="B39" s="79" t="s">
        <v>194</v>
      </c>
      <c r="C39" s="65"/>
      <c r="D39" s="46"/>
      <c r="E39" s="26"/>
      <c r="F39" s="62">
        <f t="shared" ref="F39:M40" si="7">F40</f>
        <v>65774.7</v>
      </c>
      <c r="G39" s="62">
        <f t="shared" si="7"/>
        <v>0</v>
      </c>
      <c r="H39" s="49">
        <f t="shared" si="0"/>
        <v>65774.7</v>
      </c>
      <c r="I39" s="62">
        <f t="shared" si="7"/>
        <v>0</v>
      </c>
      <c r="J39" s="49">
        <f t="shared" si="1"/>
        <v>65774.7</v>
      </c>
      <c r="K39" s="62">
        <f t="shared" si="7"/>
        <v>0</v>
      </c>
      <c r="L39" s="49">
        <f t="shared" si="2"/>
        <v>65774.7</v>
      </c>
      <c r="M39" s="62">
        <f t="shared" si="7"/>
        <v>0</v>
      </c>
      <c r="N39" s="49">
        <f t="shared" si="3"/>
        <v>65774.7</v>
      </c>
    </row>
    <row r="40" spans="1:14" x14ac:dyDescent="0.2">
      <c r="A40" s="50" t="str">
        <f ca="1">IF(ISERROR(MATCH(C40,Код_Раздел,0)),"",INDIRECT(ADDRESS(MATCH(C40,Код_Раздел,0)+1,2,,,"Раздел")))</f>
        <v>Образование</v>
      </c>
      <c r="B40" s="79" t="s">
        <v>194</v>
      </c>
      <c r="C40" s="65" t="s">
        <v>60</v>
      </c>
      <c r="D40" s="46"/>
      <c r="E40" s="26"/>
      <c r="F40" s="62">
        <f t="shared" si="7"/>
        <v>65774.7</v>
      </c>
      <c r="G40" s="62">
        <f t="shared" si="7"/>
        <v>0</v>
      </c>
      <c r="H40" s="49">
        <f t="shared" si="0"/>
        <v>65774.7</v>
      </c>
      <c r="I40" s="62">
        <f t="shared" si="7"/>
        <v>0</v>
      </c>
      <c r="J40" s="49">
        <f t="shared" si="1"/>
        <v>65774.7</v>
      </c>
      <c r="K40" s="62">
        <f t="shared" si="7"/>
        <v>0</v>
      </c>
      <c r="L40" s="49">
        <f t="shared" si="2"/>
        <v>65774.7</v>
      </c>
      <c r="M40" s="62">
        <f t="shared" si="7"/>
        <v>0</v>
      </c>
      <c r="N40" s="49">
        <f t="shared" si="3"/>
        <v>65774.7</v>
      </c>
    </row>
    <row r="41" spans="1:14" x14ac:dyDescent="0.2">
      <c r="A41" s="45" t="s">
        <v>103</v>
      </c>
      <c r="B41" s="79" t="s">
        <v>194</v>
      </c>
      <c r="C41" s="65" t="s">
        <v>60</v>
      </c>
      <c r="D41" s="46" t="s">
        <v>76</v>
      </c>
      <c r="E41" s="26"/>
      <c r="F41" s="62">
        <f>F42+F44+F46</f>
        <v>65774.7</v>
      </c>
      <c r="G41" s="62">
        <f>G42+G44+G46</f>
        <v>0</v>
      </c>
      <c r="H41" s="49">
        <f t="shared" si="0"/>
        <v>65774.7</v>
      </c>
      <c r="I41" s="62">
        <f>I42+I44+I46</f>
        <v>0</v>
      </c>
      <c r="J41" s="49">
        <f t="shared" si="1"/>
        <v>65774.7</v>
      </c>
      <c r="K41" s="62">
        <f>K42+K44+K46</f>
        <v>0</v>
      </c>
      <c r="L41" s="49">
        <f t="shared" si="2"/>
        <v>65774.7</v>
      </c>
      <c r="M41" s="62">
        <f>M42+M44+M46</f>
        <v>0</v>
      </c>
      <c r="N41" s="49">
        <f t="shared" si="3"/>
        <v>65774.7</v>
      </c>
    </row>
    <row r="42" spans="1:14" ht="49.5" x14ac:dyDescent="0.2">
      <c r="A42" s="50" t="str">
        <f t="shared" ref="A42:A47" ca="1" si="8">IF(ISERROR(MATCH(E42,Код_КВР,0)),"",INDIRECT(ADDRESS(MATCH(E42,Код_КВР,0)+1,2,,,"КВР")))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" s="79" t="s">
        <v>194</v>
      </c>
      <c r="C42" s="65" t="s">
        <v>60</v>
      </c>
      <c r="D42" s="46" t="s">
        <v>76</v>
      </c>
      <c r="E42" s="26">
        <v>100</v>
      </c>
      <c r="F42" s="62">
        <f>F43</f>
        <v>58551.5</v>
      </c>
      <c r="G42" s="62">
        <f>G43</f>
        <v>0</v>
      </c>
      <c r="H42" s="49">
        <f t="shared" si="0"/>
        <v>58551.5</v>
      </c>
      <c r="I42" s="62">
        <f>I43</f>
        <v>0</v>
      </c>
      <c r="J42" s="49">
        <f t="shared" si="1"/>
        <v>58551.5</v>
      </c>
      <c r="K42" s="62">
        <f>K43</f>
        <v>0</v>
      </c>
      <c r="L42" s="49">
        <f t="shared" si="2"/>
        <v>58551.5</v>
      </c>
      <c r="M42" s="62">
        <f>M43</f>
        <v>0</v>
      </c>
      <c r="N42" s="49">
        <f t="shared" si="3"/>
        <v>58551.5</v>
      </c>
    </row>
    <row r="43" spans="1:14" x14ac:dyDescent="0.2">
      <c r="A43" s="50" t="str">
        <f t="shared" ca="1" si="8"/>
        <v>Расходы на выплаты персоналу казенных учреждений</v>
      </c>
      <c r="B43" s="79" t="s">
        <v>194</v>
      </c>
      <c r="C43" s="65" t="s">
        <v>60</v>
      </c>
      <c r="D43" s="46" t="s">
        <v>76</v>
      </c>
      <c r="E43" s="26">
        <v>110</v>
      </c>
      <c r="F43" s="62">
        <f>'прил. 8'!G853</f>
        <v>58551.5</v>
      </c>
      <c r="G43" s="62">
        <f>'прил. 8'!H853</f>
        <v>0</v>
      </c>
      <c r="H43" s="49">
        <f t="shared" si="0"/>
        <v>58551.5</v>
      </c>
      <c r="I43" s="62">
        <f>'прил. 8'!J853</f>
        <v>0</v>
      </c>
      <c r="J43" s="49">
        <f t="shared" si="1"/>
        <v>58551.5</v>
      </c>
      <c r="K43" s="62">
        <f>'прил. 8'!L853</f>
        <v>0</v>
      </c>
      <c r="L43" s="49">
        <f t="shared" si="2"/>
        <v>58551.5</v>
      </c>
      <c r="M43" s="62">
        <f>'прил. 8'!N853</f>
        <v>0</v>
      </c>
      <c r="N43" s="49">
        <f t="shared" si="3"/>
        <v>58551.5</v>
      </c>
    </row>
    <row r="44" spans="1:14" ht="33" x14ac:dyDescent="0.2">
      <c r="A44" s="50" t="str">
        <f t="shared" ca="1" si="8"/>
        <v>Закупка товаров, работ и услуг для обеспечения государственных (муниципальных) нужд</v>
      </c>
      <c r="B44" s="79" t="s">
        <v>194</v>
      </c>
      <c r="C44" s="65" t="s">
        <v>60</v>
      </c>
      <c r="D44" s="46" t="s">
        <v>76</v>
      </c>
      <c r="E44" s="26">
        <v>200</v>
      </c>
      <c r="F44" s="62">
        <f>F45</f>
        <v>6947.3</v>
      </c>
      <c r="G44" s="62">
        <f>G45</f>
        <v>0</v>
      </c>
      <c r="H44" s="49">
        <f t="shared" si="0"/>
        <v>6947.3</v>
      </c>
      <c r="I44" s="62">
        <f>I45</f>
        <v>0</v>
      </c>
      <c r="J44" s="49">
        <f t="shared" si="1"/>
        <v>6947.3</v>
      </c>
      <c r="K44" s="62">
        <f>K45</f>
        <v>0</v>
      </c>
      <c r="L44" s="49">
        <f t="shared" si="2"/>
        <v>6947.3</v>
      </c>
      <c r="M44" s="62">
        <f>M45</f>
        <v>0</v>
      </c>
      <c r="N44" s="49">
        <f t="shared" si="3"/>
        <v>6947.3</v>
      </c>
    </row>
    <row r="45" spans="1:14" ht="33" x14ac:dyDescent="0.2">
      <c r="A45" s="50" t="str">
        <f t="shared" ca="1" si="8"/>
        <v>Иные закупки товаров, работ и услуг для обеспечения государственных (муниципальных) нужд</v>
      </c>
      <c r="B45" s="79" t="s">
        <v>194</v>
      </c>
      <c r="C45" s="65" t="s">
        <v>60</v>
      </c>
      <c r="D45" s="46" t="s">
        <v>76</v>
      </c>
      <c r="E45" s="26">
        <v>240</v>
      </c>
      <c r="F45" s="62">
        <f>'прил. 8'!G855</f>
        <v>6947.3</v>
      </c>
      <c r="G45" s="62">
        <f>'прил. 8'!H855</f>
        <v>0</v>
      </c>
      <c r="H45" s="49">
        <f t="shared" si="0"/>
        <v>6947.3</v>
      </c>
      <c r="I45" s="62">
        <f>'прил. 8'!J855</f>
        <v>0</v>
      </c>
      <c r="J45" s="49">
        <f t="shared" si="1"/>
        <v>6947.3</v>
      </c>
      <c r="K45" s="62">
        <f>'прил. 8'!L855</f>
        <v>0</v>
      </c>
      <c r="L45" s="49">
        <f t="shared" si="2"/>
        <v>6947.3</v>
      </c>
      <c r="M45" s="62">
        <f>'прил. 8'!N855</f>
        <v>0</v>
      </c>
      <c r="N45" s="49">
        <f t="shared" si="3"/>
        <v>6947.3</v>
      </c>
    </row>
    <row r="46" spans="1:14" x14ac:dyDescent="0.2">
      <c r="A46" s="50" t="str">
        <f t="shared" ca="1" si="8"/>
        <v>Иные бюджетные ассигнования</v>
      </c>
      <c r="B46" s="79" t="s">
        <v>194</v>
      </c>
      <c r="C46" s="65" t="s">
        <v>60</v>
      </c>
      <c r="D46" s="46" t="s">
        <v>76</v>
      </c>
      <c r="E46" s="26">
        <v>800</v>
      </c>
      <c r="F46" s="62">
        <f>F47</f>
        <v>275.89999999999998</v>
      </c>
      <c r="G46" s="62">
        <f>G47</f>
        <v>0</v>
      </c>
      <c r="H46" s="49">
        <f t="shared" si="0"/>
        <v>275.89999999999998</v>
      </c>
      <c r="I46" s="62">
        <f>I47</f>
        <v>0</v>
      </c>
      <c r="J46" s="49">
        <f t="shared" si="1"/>
        <v>275.89999999999998</v>
      </c>
      <c r="K46" s="62">
        <f>K47</f>
        <v>0</v>
      </c>
      <c r="L46" s="49">
        <f t="shared" si="2"/>
        <v>275.89999999999998</v>
      </c>
      <c r="M46" s="62">
        <f>M47</f>
        <v>0</v>
      </c>
      <c r="N46" s="49">
        <f t="shared" si="3"/>
        <v>275.89999999999998</v>
      </c>
    </row>
    <row r="47" spans="1:14" x14ac:dyDescent="0.2">
      <c r="A47" s="50" t="str">
        <f t="shared" ca="1" si="8"/>
        <v>Уплата налогов, сборов и иных платежей</v>
      </c>
      <c r="B47" s="79" t="s">
        <v>194</v>
      </c>
      <c r="C47" s="65" t="s">
        <v>60</v>
      </c>
      <c r="D47" s="46" t="s">
        <v>76</v>
      </c>
      <c r="E47" s="26">
        <v>850</v>
      </c>
      <c r="F47" s="62">
        <f>'прил. 8'!G857</f>
        <v>275.89999999999998</v>
      </c>
      <c r="G47" s="62">
        <f>'прил. 8'!H857</f>
        <v>0</v>
      </c>
      <c r="H47" s="49">
        <f t="shared" si="0"/>
        <v>275.89999999999998</v>
      </c>
      <c r="I47" s="62">
        <f>'прил. 8'!J857</f>
        <v>0</v>
      </c>
      <c r="J47" s="49">
        <f t="shared" si="1"/>
        <v>275.89999999999998</v>
      </c>
      <c r="K47" s="62">
        <f>'прил. 8'!L857</f>
        <v>0</v>
      </c>
      <c r="L47" s="49">
        <f t="shared" si="2"/>
        <v>275.89999999999998</v>
      </c>
      <c r="M47" s="62">
        <f>'прил. 8'!N857</f>
        <v>0</v>
      </c>
      <c r="N47" s="49">
        <f t="shared" si="3"/>
        <v>275.89999999999998</v>
      </c>
    </row>
    <row r="48" spans="1:14" ht="49.5" x14ac:dyDescent="0.2">
      <c r="A48" s="50" t="str">
        <f ca="1">IF(ISERROR(MATCH(B48,Код_КЦСР,0)),"",INDIRECT(ADDRESS(MATCH(B48,Код_КЦСР,0)+1,2,,,"КЦСР")))</f>
        <v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v>
      </c>
      <c r="B48" s="79" t="s">
        <v>195</v>
      </c>
      <c r="C48" s="65"/>
      <c r="D48" s="46"/>
      <c r="E48" s="26"/>
      <c r="F48" s="62">
        <f t="shared" ref="F48:M50" si="9">F49</f>
        <v>15328.099999999999</v>
      </c>
      <c r="G48" s="62">
        <f t="shared" si="9"/>
        <v>0</v>
      </c>
      <c r="H48" s="49">
        <f t="shared" si="0"/>
        <v>15328.099999999999</v>
      </c>
      <c r="I48" s="62">
        <f t="shared" si="9"/>
        <v>0</v>
      </c>
      <c r="J48" s="49">
        <f t="shared" si="1"/>
        <v>15328.099999999999</v>
      </c>
      <c r="K48" s="62">
        <f t="shared" si="9"/>
        <v>0</v>
      </c>
      <c r="L48" s="49">
        <f t="shared" si="2"/>
        <v>15328.099999999999</v>
      </c>
      <c r="M48" s="62">
        <f t="shared" si="9"/>
        <v>0</v>
      </c>
      <c r="N48" s="49">
        <f t="shared" si="3"/>
        <v>15328.099999999999</v>
      </c>
    </row>
    <row r="49" spans="1:14" x14ac:dyDescent="0.2">
      <c r="A49" s="50" t="str">
        <f ca="1">IF(ISERROR(MATCH(B49,Код_КЦСР,0)),"",INDIRECT(ADDRESS(MATCH(B49,Код_КЦСР,0)+1,2,,,"КЦСР")))</f>
        <v>Расходы на обеспечение функций органов местного самоуправления</v>
      </c>
      <c r="B49" s="79" t="s">
        <v>196</v>
      </c>
      <c r="C49" s="65"/>
      <c r="D49" s="46"/>
      <c r="E49" s="26"/>
      <c r="F49" s="62">
        <f t="shared" si="9"/>
        <v>15328.099999999999</v>
      </c>
      <c r="G49" s="62">
        <f t="shared" si="9"/>
        <v>0</v>
      </c>
      <c r="H49" s="49">
        <f t="shared" si="0"/>
        <v>15328.099999999999</v>
      </c>
      <c r="I49" s="62">
        <f t="shared" si="9"/>
        <v>0</v>
      </c>
      <c r="J49" s="49">
        <f t="shared" si="1"/>
        <v>15328.099999999999</v>
      </c>
      <c r="K49" s="62">
        <f t="shared" si="9"/>
        <v>0</v>
      </c>
      <c r="L49" s="49">
        <f t="shared" si="2"/>
        <v>15328.099999999999</v>
      </c>
      <c r="M49" s="62">
        <f t="shared" si="9"/>
        <v>0</v>
      </c>
      <c r="N49" s="49">
        <f t="shared" si="3"/>
        <v>15328.099999999999</v>
      </c>
    </row>
    <row r="50" spans="1:14" x14ac:dyDescent="0.2">
      <c r="A50" s="50" t="str">
        <f ca="1">IF(ISERROR(MATCH(C50,Код_Раздел,0)),"",INDIRECT(ADDRESS(MATCH(C50,Код_Раздел,0)+1,2,,,"Раздел")))</f>
        <v>Образование</v>
      </c>
      <c r="B50" s="79" t="s">
        <v>196</v>
      </c>
      <c r="C50" s="65" t="s">
        <v>60</v>
      </c>
      <c r="D50" s="46"/>
      <c r="E50" s="26"/>
      <c r="F50" s="62">
        <f t="shared" si="9"/>
        <v>15328.099999999999</v>
      </c>
      <c r="G50" s="62">
        <f t="shared" si="9"/>
        <v>0</v>
      </c>
      <c r="H50" s="49">
        <f t="shared" si="0"/>
        <v>15328.099999999999</v>
      </c>
      <c r="I50" s="62">
        <f t="shared" si="9"/>
        <v>0</v>
      </c>
      <c r="J50" s="49">
        <f t="shared" si="1"/>
        <v>15328.099999999999</v>
      </c>
      <c r="K50" s="62">
        <f t="shared" si="9"/>
        <v>0</v>
      </c>
      <c r="L50" s="49">
        <f t="shared" si="2"/>
        <v>15328.099999999999</v>
      </c>
      <c r="M50" s="62">
        <f t="shared" si="9"/>
        <v>0</v>
      </c>
      <c r="N50" s="49">
        <f t="shared" si="3"/>
        <v>15328.099999999999</v>
      </c>
    </row>
    <row r="51" spans="1:14" x14ac:dyDescent="0.2">
      <c r="A51" s="45" t="s">
        <v>103</v>
      </c>
      <c r="B51" s="79" t="s">
        <v>196</v>
      </c>
      <c r="C51" s="65" t="s">
        <v>60</v>
      </c>
      <c r="D51" s="46" t="s">
        <v>76</v>
      </c>
      <c r="E51" s="26"/>
      <c r="F51" s="62">
        <f>F52+F54</f>
        <v>15328.099999999999</v>
      </c>
      <c r="G51" s="62">
        <f>G52+G54</f>
        <v>0</v>
      </c>
      <c r="H51" s="49">
        <f t="shared" si="0"/>
        <v>15328.099999999999</v>
      </c>
      <c r="I51" s="62">
        <f>I52+I54</f>
        <v>0</v>
      </c>
      <c r="J51" s="49">
        <f t="shared" si="1"/>
        <v>15328.099999999999</v>
      </c>
      <c r="K51" s="62">
        <f>K52+K54</f>
        <v>0</v>
      </c>
      <c r="L51" s="49">
        <f t="shared" si="2"/>
        <v>15328.099999999999</v>
      </c>
      <c r="M51" s="62">
        <f>M52+M54</f>
        <v>0</v>
      </c>
      <c r="N51" s="49">
        <f t="shared" si="3"/>
        <v>15328.099999999999</v>
      </c>
    </row>
    <row r="52" spans="1:14" ht="49.5" x14ac:dyDescent="0.2">
      <c r="A52" s="50" t="str">
        <f ca="1">IF(ISERROR(MATCH(E52,Код_КВР,0)),"",INDIRECT(ADDRESS(MATCH(E52,Код_КВР,0)+1,2,,,"КВР")))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2" s="79" t="s">
        <v>196</v>
      </c>
      <c r="C52" s="65" t="s">
        <v>60</v>
      </c>
      <c r="D52" s="46" t="s">
        <v>76</v>
      </c>
      <c r="E52" s="26">
        <v>100</v>
      </c>
      <c r="F52" s="62">
        <f>F53</f>
        <v>15272.8</v>
      </c>
      <c r="G52" s="62">
        <f>G53</f>
        <v>0</v>
      </c>
      <c r="H52" s="49">
        <f t="shared" si="0"/>
        <v>15272.8</v>
      </c>
      <c r="I52" s="62">
        <f>I53</f>
        <v>0</v>
      </c>
      <c r="J52" s="49">
        <f t="shared" si="1"/>
        <v>15272.8</v>
      </c>
      <c r="K52" s="62">
        <f>K53</f>
        <v>0</v>
      </c>
      <c r="L52" s="49">
        <f t="shared" si="2"/>
        <v>15272.8</v>
      </c>
      <c r="M52" s="62">
        <f>M53</f>
        <v>0</v>
      </c>
      <c r="N52" s="49">
        <f t="shared" si="3"/>
        <v>15272.8</v>
      </c>
    </row>
    <row r="53" spans="1:14" x14ac:dyDescent="0.2">
      <c r="A53" s="50" t="str">
        <f ca="1">IF(ISERROR(MATCH(E53,Код_КВР,0)),"",INDIRECT(ADDRESS(MATCH(E53,Код_КВР,0)+1,2,,,"КВР")))</f>
        <v>Расходы на выплаты персоналу государственных (муниципальных) органов</v>
      </c>
      <c r="B53" s="79" t="s">
        <v>196</v>
      </c>
      <c r="C53" s="65" t="s">
        <v>60</v>
      </c>
      <c r="D53" s="46" t="s">
        <v>76</v>
      </c>
      <c r="E53" s="26">
        <v>120</v>
      </c>
      <c r="F53" s="62">
        <f>'прил. 8'!G861</f>
        <v>15272.8</v>
      </c>
      <c r="G53" s="62">
        <f>'прил. 8'!H861</f>
        <v>0</v>
      </c>
      <c r="H53" s="49">
        <f t="shared" si="0"/>
        <v>15272.8</v>
      </c>
      <c r="I53" s="62">
        <f>'прил. 8'!J861</f>
        <v>0</v>
      </c>
      <c r="J53" s="49">
        <f t="shared" si="1"/>
        <v>15272.8</v>
      </c>
      <c r="K53" s="62">
        <f>'прил. 8'!L861</f>
        <v>0</v>
      </c>
      <c r="L53" s="49">
        <f t="shared" si="2"/>
        <v>15272.8</v>
      </c>
      <c r="M53" s="62">
        <f>'прил. 8'!N861</f>
        <v>0</v>
      </c>
      <c r="N53" s="49">
        <f t="shared" si="3"/>
        <v>15272.8</v>
      </c>
    </row>
    <row r="54" spans="1:14" ht="33" x14ac:dyDescent="0.2">
      <c r="A54" s="50" t="str">
        <f ca="1">IF(ISERROR(MATCH(E54,Код_КВР,0)),"",INDIRECT(ADDRESS(MATCH(E54,Код_КВР,0)+1,2,,,"КВР")))</f>
        <v>Закупка товаров, работ и услуг для обеспечения государственных (муниципальных) нужд</v>
      </c>
      <c r="B54" s="79" t="s">
        <v>196</v>
      </c>
      <c r="C54" s="65" t="s">
        <v>60</v>
      </c>
      <c r="D54" s="46" t="s">
        <v>76</v>
      </c>
      <c r="E54" s="26">
        <v>200</v>
      </c>
      <c r="F54" s="62">
        <f>F55</f>
        <v>55.3</v>
      </c>
      <c r="G54" s="62">
        <f>G55</f>
        <v>0</v>
      </c>
      <c r="H54" s="49">
        <f t="shared" si="0"/>
        <v>55.3</v>
      </c>
      <c r="I54" s="62">
        <f>I55</f>
        <v>0</v>
      </c>
      <c r="J54" s="49">
        <f t="shared" si="1"/>
        <v>55.3</v>
      </c>
      <c r="K54" s="62">
        <f>K55</f>
        <v>0</v>
      </c>
      <c r="L54" s="49">
        <f t="shared" si="2"/>
        <v>55.3</v>
      </c>
      <c r="M54" s="62">
        <f>M55</f>
        <v>0</v>
      </c>
      <c r="N54" s="49">
        <f t="shared" si="3"/>
        <v>55.3</v>
      </c>
    </row>
    <row r="55" spans="1:14" ht="33" x14ac:dyDescent="0.2">
      <c r="A55" s="50" t="str">
        <f ca="1">IF(ISERROR(MATCH(E55,Код_КВР,0)),"",INDIRECT(ADDRESS(MATCH(E55,Код_КВР,0)+1,2,,,"КВР")))</f>
        <v>Иные закупки товаров, работ и услуг для обеспечения государственных (муниципальных) нужд</v>
      </c>
      <c r="B55" s="79" t="s">
        <v>196</v>
      </c>
      <c r="C55" s="65" t="s">
        <v>60</v>
      </c>
      <c r="D55" s="46" t="s">
        <v>76</v>
      </c>
      <c r="E55" s="26">
        <v>240</v>
      </c>
      <c r="F55" s="62">
        <f>'прил. 8'!G863</f>
        <v>55.3</v>
      </c>
      <c r="G55" s="62">
        <f>'прил. 8'!H863</f>
        <v>0</v>
      </c>
      <c r="H55" s="49">
        <f t="shared" si="0"/>
        <v>55.3</v>
      </c>
      <c r="I55" s="62">
        <f>'прил. 8'!J863</f>
        <v>0</v>
      </c>
      <c r="J55" s="49">
        <f t="shared" si="1"/>
        <v>55.3</v>
      </c>
      <c r="K55" s="62">
        <f>'прил. 8'!L863</f>
        <v>0</v>
      </c>
      <c r="L55" s="49">
        <f t="shared" si="2"/>
        <v>55.3</v>
      </c>
      <c r="M55" s="62">
        <f>'прил. 8'!N863</f>
        <v>0</v>
      </c>
      <c r="N55" s="49">
        <f t="shared" si="3"/>
        <v>55.3</v>
      </c>
    </row>
    <row r="56" spans="1:14" x14ac:dyDescent="0.2">
      <c r="A56" s="50" t="str">
        <f ca="1">IF(ISERROR(MATCH(B56,Код_КЦСР,0)),"",INDIRECT(ADDRESS(MATCH(B56,Код_КЦСР,0)+1,2,,,"КЦСР")))</f>
        <v>Дошкольное образование</v>
      </c>
      <c r="B56" s="79" t="s">
        <v>198</v>
      </c>
      <c r="C56" s="65"/>
      <c r="D56" s="46"/>
      <c r="E56" s="26"/>
      <c r="F56" s="62">
        <f>F57+F67+F77+F83</f>
        <v>1734637</v>
      </c>
      <c r="G56" s="62">
        <f>G57+G67+G77+G83</f>
        <v>0</v>
      </c>
      <c r="H56" s="49">
        <f t="shared" si="0"/>
        <v>1734637</v>
      </c>
      <c r="I56" s="62">
        <f>I57+I67+I77+I83</f>
        <v>800</v>
      </c>
      <c r="J56" s="49">
        <f t="shared" si="1"/>
        <v>1735437</v>
      </c>
      <c r="K56" s="62">
        <f>K57+K67+K77+K83</f>
        <v>0</v>
      </c>
      <c r="L56" s="49">
        <f t="shared" si="2"/>
        <v>1735437</v>
      </c>
      <c r="M56" s="62">
        <f>M57+M67+M77+M83</f>
        <v>0</v>
      </c>
      <c r="N56" s="49">
        <f t="shared" si="3"/>
        <v>1735437</v>
      </c>
    </row>
    <row r="57" spans="1:14" ht="39.75" customHeight="1" x14ac:dyDescent="0.2">
      <c r="A57" s="50" t="str">
        <f ca="1">IF(ISERROR(MATCH(B57,Код_КЦСР,0)),"",INDIRECT(ADDRESS(MATCH(B57,Код_КЦСР,0)+1,2,,,"КЦСР")))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</v>
      </c>
      <c r="B57" s="79" t="s">
        <v>200</v>
      </c>
      <c r="C57" s="65"/>
      <c r="D57" s="46"/>
      <c r="E57" s="26"/>
      <c r="F57" s="62">
        <f t="shared" ref="F57:M60" si="10">F58</f>
        <v>1144834.8</v>
      </c>
      <c r="G57" s="62">
        <f t="shared" si="10"/>
        <v>0</v>
      </c>
      <c r="H57" s="49">
        <f t="shared" si="0"/>
        <v>1144834.8</v>
      </c>
      <c r="I57" s="62">
        <f t="shared" si="10"/>
        <v>0</v>
      </c>
      <c r="J57" s="49">
        <f t="shared" si="1"/>
        <v>1144834.8</v>
      </c>
      <c r="K57" s="62">
        <f t="shared" si="10"/>
        <v>0</v>
      </c>
      <c r="L57" s="49">
        <f t="shared" si="2"/>
        <v>1144834.8</v>
      </c>
      <c r="M57" s="62">
        <f t="shared" si="10"/>
        <v>0</v>
      </c>
      <c r="N57" s="49">
        <f t="shared" si="3"/>
        <v>1144834.8</v>
      </c>
    </row>
    <row r="58" spans="1:14" ht="49.5" x14ac:dyDescent="0.2">
      <c r="A58" s="50" t="str">
        <f ca="1">IF(ISERROR(MATCH(B58,Код_КЦСР,0)),"",INDIRECT(ADDRESS(MATCH(B58,Код_КЦСР,0)+1,2,,,"КЦСР")))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учреждениях, за счет средств областного бюджета</v>
      </c>
      <c r="B58" s="79" t="s">
        <v>426</v>
      </c>
      <c r="C58" s="65"/>
      <c r="D58" s="46"/>
      <c r="E58" s="26"/>
      <c r="F58" s="62">
        <f t="shared" si="10"/>
        <v>1144834.8</v>
      </c>
      <c r="G58" s="62">
        <f t="shared" si="10"/>
        <v>0</v>
      </c>
      <c r="H58" s="49">
        <f t="shared" si="0"/>
        <v>1144834.8</v>
      </c>
      <c r="I58" s="62">
        <f t="shared" si="10"/>
        <v>0</v>
      </c>
      <c r="J58" s="49">
        <f t="shared" si="1"/>
        <v>1144834.8</v>
      </c>
      <c r="K58" s="62">
        <f t="shared" si="10"/>
        <v>0</v>
      </c>
      <c r="L58" s="49">
        <f t="shared" si="2"/>
        <v>1144834.8</v>
      </c>
      <c r="M58" s="62">
        <f>M59+M64</f>
        <v>0</v>
      </c>
      <c r="N58" s="49">
        <f t="shared" si="3"/>
        <v>1144834.8</v>
      </c>
    </row>
    <row r="59" spans="1:14" x14ac:dyDescent="0.2">
      <c r="A59" s="50" t="str">
        <f ca="1">IF(ISERROR(MATCH(C59,Код_Раздел,0)),"",INDIRECT(ADDRESS(MATCH(C59,Код_Раздел,0)+1,2,,,"Раздел")))</f>
        <v>Образование</v>
      </c>
      <c r="B59" s="79" t="s">
        <v>426</v>
      </c>
      <c r="C59" s="65" t="s">
        <v>60</v>
      </c>
      <c r="D59" s="46"/>
      <c r="E59" s="26"/>
      <c r="F59" s="62">
        <f t="shared" si="10"/>
        <v>1144834.8</v>
      </c>
      <c r="G59" s="62">
        <f t="shared" si="10"/>
        <v>0</v>
      </c>
      <c r="H59" s="49">
        <f t="shared" si="0"/>
        <v>1144834.8</v>
      </c>
      <c r="I59" s="62">
        <f t="shared" si="10"/>
        <v>0</v>
      </c>
      <c r="J59" s="49">
        <f t="shared" si="1"/>
        <v>1144834.8</v>
      </c>
      <c r="K59" s="62">
        <f t="shared" si="10"/>
        <v>0</v>
      </c>
      <c r="L59" s="49">
        <f t="shared" si="2"/>
        <v>1144834.8</v>
      </c>
      <c r="M59" s="62">
        <f t="shared" si="10"/>
        <v>-21</v>
      </c>
      <c r="N59" s="49">
        <f t="shared" si="3"/>
        <v>1144813.8</v>
      </c>
    </row>
    <row r="60" spans="1:14" x14ac:dyDescent="0.2">
      <c r="A60" s="50" t="s">
        <v>109</v>
      </c>
      <c r="B60" s="79" t="s">
        <v>426</v>
      </c>
      <c r="C60" s="65" t="s">
        <v>60</v>
      </c>
      <c r="D60" s="46" t="s">
        <v>70</v>
      </c>
      <c r="E60" s="26"/>
      <c r="F60" s="62">
        <f t="shared" si="10"/>
        <v>1144834.8</v>
      </c>
      <c r="G60" s="62">
        <f t="shared" si="10"/>
        <v>0</v>
      </c>
      <c r="H60" s="49">
        <f t="shared" si="0"/>
        <v>1144834.8</v>
      </c>
      <c r="I60" s="62">
        <f t="shared" si="10"/>
        <v>0</v>
      </c>
      <c r="J60" s="49">
        <f t="shared" si="1"/>
        <v>1144834.8</v>
      </c>
      <c r="K60" s="62">
        <f t="shared" si="10"/>
        <v>0</v>
      </c>
      <c r="L60" s="49">
        <f t="shared" si="2"/>
        <v>1144834.8</v>
      </c>
      <c r="M60" s="62">
        <f t="shared" si="10"/>
        <v>-21</v>
      </c>
      <c r="N60" s="49">
        <f t="shared" si="3"/>
        <v>1144813.8</v>
      </c>
    </row>
    <row r="61" spans="1:14" ht="33" x14ac:dyDescent="0.2">
      <c r="A61" s="50" t="str">
        <f ca="1">IF(ISERROR(MATCH(E61,Код_КВР,0)),"",INDIRECT(ADDRESS(MATCH(E61,Код_КВР,0)+1,2,,,"КВР")))</f>
        <v>Предоставление субсидий бюджетным, автономным учреждениям и иным некоммерческим организациям</v>
      </c>
      <c r="B61" s="79" t="s">
        <v>426</v>
      </c>
      <c r="C61" s="65" t="s">
        <v>60</v>
      </c>
      <c r="D61" s="46" t="s">
        <v>70</v>
      </c>
      <c r="E61" s="26">
        <v>600</v>
      </c>
      <c r="F61" s="62">
        <f>F62+F63</f>
        <v>1144834.8</v>
      </c>
      <c r="G61" s="62">
        <f>G62+G63</f>
        <v>0</v>
      </c>
      <c r="H61" s="49">
        <f t="shared" si="0"/>
        <v>1144834.8</v>
      </c>
      <c r="I61" s="62">
        <f>I62+I63</f>
        <v>0</v>
      </c>
      <c r="J61" s="49">
        <f t="shared" si="1"/>
        <v>1144834.8</v>
      </c>
      <c r="K61" s="62">
        <f>K62+K63</f>
        <v>0</v>
      </c>
      <c r="L61" s="49">
        <f t="shared" si="2"/>
        <v>1144834.8</v>
      </c>
      <c r="M61" s="62">
        <f>M62+M63</f>
        <v>-21</v>
      </c>
      <c r="N61" s="49">
        <f t="shared" si="3"/>
        <v>1144813.8</v>
      </c>
    </row>
    <row r="62" spans="1:14" x14ac:dyDescent="0.2">
      <c r="A62" s="50" t="str">
        <f ca="1">IF(ISERROR(MATCH(E62,Код_КВР,0)),"",INDIRECT(ADDRESS(MATCH(E62,Код_КВР,0)+1,2,,,"КВР")))</f>
        <v>Субсидии бюджетным учреждениям</v>
      </c>
      <c r="B62" s="79" t="s">
        <v>426</v>
      </c>
      <c r="C62" s="65" t="s">
        <v>60</v>
      </c>
      <c r="D62" s="46" t="s">
        <v>70</v>
      </c>
      <c r="E62" s="26">
        <v>610</v>
      </c>
      <c r="F62" s="62">
        <f>'прил. 8'!G640</f>
        <v>1049810</v>
      </c>
      <c r="G62" s="62">
        <f>'прил. 8'!H640</f>
        <v>0</v>
      </c>
      <c r="H62" s="49">
        <f t="shared" si="0"/>
        <v>1049810</v>
      </c>
      <c r="I62" s="62">
        <f>'прил. 8'!J640</f>
        <v>0</v>
      </c>
      <c r="J62" s="49">
        <f t="shared" si="1"/>
        <v>1049810</v>
      </c>
      <c r="K62" s="62">
        <f>'прил. 8'!L640</f>
        <v>446.2</v>
      </c>
      <c r="L62" s="49">
        <f t="shared" si="2"/>
        <v>1050256.2</v>
      </c>
      <c r="M62" s="62">
        <f>'прил. 8'!N640</f>
        <v>-21</v>
      </c>
      <c r="N62" s="49">
        <f t="shared" si="3"/>
        <v>1050235.2</v>
      </c>
    </row>
    <row r="63" spans="1:14" x14ac:dyDescent="0.2">
      <c r="A63" s="50" t="str">
        <f ca="1">IF(ISERROR(MATCH(E63,Код_КВР,0)),"",INDIRECT(ADDRESS(MATCH(E63,Код_КВР,0)+1,2,,,"КВР")))</f>
        <v>Субсидии автономным учреждениям</v>
      </c>
      <c r="B63" s="79" t="s">
        <v>426</v>
      </c>
      <c r="C63" s="65" t="s">
        <v>60</v>
      </c>
      <c r="D63" s="46" t="s">
        <v>70</v>
      </c>
      <c r="E63" s="26">
        <v>620</v>
      </c>
      <c r="F63" s="62">
        <f>'прил. 8'!G641</f>
        <v>95024.8</v>
      </c>
      <c r="G63" s="62">
        <f>'прил. 8'!H641</f>
        <v>0</v>
      </c>
      <c r="H63" s="49">
        <f t="shared" si="0"/>
        <v>95024.8</v>
      </c>
      <c r="I63" s="62">
        <f>'прил. 8'!J641</f>
        <v>0</v>
      </c>
      <c r="J63" s="49">
        <f t="shared" si="1"/>
        <v>95024.8</v>
      </c>
      <c r="K63" s="62">
        <f>'прил. 8'!L641</f>
        <v>-446.2</v>
      </c>
      <c r="L63" s="49">
        <f t="shared" si="2"/>
        <v>94578.6</v>
      </c>
      <c r="M63" s="62">
        <f>'прил. 8'!N641</f>
        <v>0</v>
      </c>
      <c r="N63" s="49">
        <f t="shared" si="3"/>
        <v>94578.6</v>
      </c>
    </row>
    <row r="64" spans="1:14" ht="16.5" customHeight="1" x14ac:dyDescent="0.2">
      <c r="A64" s="45" t="s">
        <v>532</v>
      </c>
      <c r="B64" s="79" t="s">
        <v>426</v>
      </c>
      <c r="C64" s="65" t="s">
        <v>60</v>
      </c>
      <c r="D64" s="46" t="s">
        <v>78</v>
      </c>
      <c r="E64" s="26"/>
      <c r="F64" s="62"/>
      <c r="G64" s="62"/>
      <c r="H64" s="49"/>
      <c r="I64" s="62"/>
      <c r="J64" s="49"/>
      <c r="K64" s="62"/>
      <c r="L64" s="49"/>
      <c r="M64" s="62">
        <f>M65</f>
        <v>21</v>
      </c>
      <c r="N64" s="49">
        <f t="shared" si="3"/>
        <v>21</v>
      </c>
    </row>
    <row r="65" spans="1:14" ht="33" x14ac:dyDescent="0.2">
      <c r="A65" s="50" t="str">
        <f ca="1">IF(ISERROR(MATCH(E65,Код_КВР,0)),"",INDIRECT(ADDRESS(MATCH(E65,Код_КВР,0)+1,2,,,"КВР")))</f>
        <v>Предоставление субсидий бюджетным, автономным учреждениям и иным некоммерческим организациям</v>
      </c>
      <c r="B65" s="79" t="s">
        <v>426</v>
      </c>
      <c r="C65" s="65" t="s">
        <v>60</v>
      </c>
      <c r="D65" s="46" t="s">
        <v>78</v>
      </c>
      <c r="E65" s="26">
        <v>600</v>
      </c>
      <c r="F65" s="62"/>
      <c r="G65" s="62"/>
      <c r="H65" s="49"/>
      <c r="I65" s="62"/>
      <c r="J65" s="49"/>
      <c r="K65" s="62"/>
      <c r="L65" s="49"/>
      <c r="M65" s="62">
        <f>M66</f>
        <v>21</v>
      </c>
      <c r="N65" s="49">
        <f t="shared" si="3"/>
        <v>21</v>
      </c>
    </row>
    <row r="66" spans="1:14" x14ac:dyDescent="0.2">
      <c r="A66" s="50" t="str">
        <f ca="1">IF(ISERROR(MATCH(E66,Код_КВР,0)),"",INDIRECT(ADDRESS(MATCH(E66,Код_КВР,0)+1,2,,,"КВР")))</f>
        <v>Субсидии бюджетным учреждениям</v>
      </c>
      <c r="B66" s="79" t="s">
        <v>426</v>
      </c>
      <c r="C66" s="65" t="s">
        <v>60</v>
      </c>
      <c r="D66" s="46" t="s">
        <v>78</v>
      </c>
      <c r="E66" s="26">
        <v>610</v>
      </c>
      <c r="F66" s="62"/>
      <c r="G66" s="62"/>
      <c r="H66" s="49"/>
      <c r="I66" s="62"/>
      <c r="J66" s="49"/>
      <c r="K66" s="62"/>
      <c r="L66" s="49"/>
      <c r="M66" s="62">
        <v>21</v>
      </c>
      <c r="N66" s="49">
        <f t="shared" si="3"/>
        <v>21</v>
      </c>
    </row>
    <row r="67" spans="1:14" ht="82.5" x14ac:dyDescent="0.2">
      <c r="A67" s="50" t="str">
        <f ca="1">IF(ISERROR(MATCH(B67,Код_КЦСР,0)),"",INDIRECT(ADDRESS(MATCH(B67,Код_КЦСР,0)+1,2,,,"КЦСР")))</f>
        <v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v>
      </c>
      <c r="B67" s="79" t="s">
        <v>201</v>
      </c>
      <c r="C67" s="65"/>
      <c r="D67" s="46"/>
      <c r="E67" s="26"/>
      <c r="F67" s="62">
        <f>F68</f>
        <v>515121.7</v>
      </c>
      <c r="G67" s="62">
        <f>G68</f>
        <v>0</v>
      </c>
      <c r="H67" s="49">
        <f t="shared" si="0"/>
        <v>515121.7</v>
      </c>
      <c r="I67" s="62">
        <f>I68</f>
        <v>0</v>
      </c>
      <c r="J67" s="49">
        <f t="shared" si="1"/>
        <v>515121.7</v>
      </c>
      <c r="K67" s="62">
        <f>K68</f>
        <v>0</v>
      </c>
      <c r="L67" s="49">
        <f t="shared" si="2"/>
        <v>515121.7</v>
      </c>
      <c r="M67" s="62">
        <f>M68</f>
        <v>0</v>
      </c>
      <c r="N67" s="49">
        <f t="shared" si="3"/>
        <v>515121.7</v>
      </c>
    </row>
    <row r="68" spans="1:14" x14ac:dyDescent="0.2">
      <c r="A68" s="50" t="str">
        <f ca="1">IF(ISERROR(MATCH(C68,Код_Раздел,0)),"",INDIRECT(ADDRESS(MATCH(C68,Код_Раздел,0)+1,2,,,"Раздел")))</f>
        <v>Образование</v>
      </c>
      <c r="B68" s="79" t="s">
        <v>201</v>
      </c>
      <c r="C68" s="65" t="s">
        <v>60</v>
      </c>
      <c r="D68" s="46"/>
      <c r="E68" s="26"/>
      <c r="F68" s="62">
        <f>F69+F73</f>
        <v>515121.7</v>
      </c>
      <c r="G68" s="62">
        <f>G69+G73</f>
        <v>0</v>
      </c>
      <c r="H68" s="49">
        <f t="shared" si="0"/>
        <v>515121.7</v>
      </c>
      <c r="I68" s="62">
        <f>I69+I73</f>
        <v>0</v>
      </c>
      <c r="J68" s="49">
        <f t="shared" si="1"/>
        <v>515121.7</v>
      </c>
      <c r="K68" s="62">
        <f>K69+K73</f>
        <v>0</v>
      </c>
      <c r="L68" s="49">
        <f t="shared" si="2"/>
        <v>515121.7</v>
      </c>
      <c r="M68" s="62">
        <f>M69+M73</f>
        <v>0</v>
      </c>
      <c r="N68" s="49">
        <f t="shared" si="3"/>
        <v>515121.7</v>
      </c>
    </row>
    <row r="69" spans="1:14" x14ac:dyDescent="0.2">
      <c r="A69" s="45" t="s">
        <v>109</v>
      </c>
      <c r="B69" s="79" t="s">
        <v>201</v>
      </c>
      <c r="C69" s="65" t="s">
        <v>60</v>
      </c>
      <c r="D69" s="46" t="s">
        <v>70</v>
      </c>
      <c r="E69" s="26"/>
      <c r="F69" s="62">
        <f>F70</f>
        <v>515121.7</v>
      </c>
      <c r="G69" s="62">
        <f>G70</f>
        <v>0</v>
      </c>
      <c r="H69" s="49">
        <f t="shared" si="0"/>
        <v>515121.7</v>
      </c>
      <c r="I69" s="62">
        <f>I70</f>
        <v>0</v>
      </c>
      <c r="J69" s="49">
        <f t="shared" si="1"/>
        <v>515121.7</v>
      </c>
      <c r="K69" s="62">
        <f>K70</f>
        <v>-966.30000000000007</v>
      </c>
      <c r="L69" s="49">
        <f t="shared" si="2"/>
        <v>514155.4</v>
      </c>
      <c r="M69" s="62">
        <f>M70</f>
        <v>-555.5</v>
      </c>
      <c r="N69" s="49">
        <f t="shared" si="3"/>
        <v>513599.9</v>
      </c>
    </row>
    <row r="70" spans="1:14" ht="33" x14ac:dyDescent="0.2">
      <c r="A70" s="50" t="str">
        <f ca="1">IF(ISERROR(MATCH(E70,Код_КВР,0)),"",INDIRECT(ADDRESS(MATCH(E70,Код_КВР,0)+1,2,,,"КВР")))</f>
        <v>Предоставление субсидий бюджетным, автономным учреждениям и иным некоммерческим организациям</v>
      </c>
      <c r="B70" s="79" t="s">
        <v>201</v>
      </c>
      <c r="C70" s="65" t="s">
        <v>60</v>
      </c>
      <c r="D70" s="46" t="s">
        <v>70</v>
      </c>
      <c r="E70" s="26">
        <v>600</v>
      </c>
      <c r="F70" s="62">
        <f>F71+F72</f>
        <v>515121.7</v>
      </c>
      <c r="G70" s="62">
        <f>G71+G72</f>
        <v>0</v>
      </c>
      <c r="H70" s="49">
        <f t="shared" si="0"/>
        <v>515121.7</v>
      </c>
      <c r="I70" s="62">
        <f>I71+I72</f>
        <v>0</v>
      </c>
      <c r="J70" s="49">
        <f t="shared" si="1"/>
        <v>515121.7</v>
      </c>
      <c r="K70" s="62">
        <f>K71+K72</f>
        <v>-966.30000000000007</v>
      </c>
      <c r="L70" s="49">
        <f t="shared" si="2"/>
        <v>514155.4</v>
      </c>
      <c r="M70" s="62">
        <f>M71+M72</f>
        <v>-555.5</v>
      </c>
      <c r="N70" s="49">
        <f t="shared" si="3"/>
        <v>513599.9</v>
      </c>
    </row>
    <row r="71" spans="1:14" x14ac:dyDescent="0.2">
      <c r="A71" s="50" t="str">
        <f ca="1">IF(ISERROR(MATCH(E71,Код_КВР,0)),"",INDIRECT(ADDRESS(MATCH(E71,Код_КВР,0)+1,2,,,"КВР")))</f>
        <v>Субсидии бюджетным учреждениям</v>
      </c>
      <c r="B71" s="79" t="s">
        <v>201</v>
      </c>
      <c r="C71" s="65" t="s">
        <v>60</v>
      </c>
      <c r="D71" s="46" t="s">
        <v>70</v>
      </c>
      <c r="E71" s="26">
        <v>610</v>
      </c>
      <c r="F71" s="62">
        <f>'прил. 8'!G644</f>
        <v>462262.8</v>
      </c>
      <c r="G71" s="62">
        <f>'прил. 8'!H644</f>
        <v>0</v>
      </c>
      <c r="H71" s="49">
        <f t="shared" si="0"/>
        <v>462262.8</v>
      </c>
      <c r="I71" s="62">
        <f>'прил. 8'!J644</f>
        <v>0</v>
      </c>
      <c r="J71" s="49">
        <f t="shared" si="1"/>
        <v>462262.8</v>
      </c>
      <c r="K71" s="62">
        <f>'прил. 8'!L644</f>
        <v>-906.7</v>
      </c>
      <c r="L71" s="49">
        <f t="shared" si="2"/>
        <v>461356.1</v>
      </c>
      <c r="M71" s="62">
        <f>'прил. 8'!N644</f>
        <v>-555.5</v>
      </c>
      <c r="N71" s="49">
        <f t="shared" si="3"/>
        <v>460800.6</v>
      </c>
    </row>
    <row r="72" spans="1:14" x14ac:dyDescent="0.2">
      <c r="A72" s="50" t="str">
        <f ca="1">IF(ISERROR(MATCH(E72,Код_КВР,0)),"",INDIRECT(ADDRESS(MATCH(E72,Код_КВР,0)+1,2,,,"КВР")))</f>
        <v>Субсидии автономным учреждениям</v>
      </c>
      <c r="B72" s="79" t="s">
        <v>201</v>
      </c>
      <c r="C72" s="65" t="s">
        <v>60</v>
      </c>
      <c r="D72" s="46" t="s">
        <v>70</v>
      </c>
      <c r="E72" s="26">
        <v>620</v>
      </c>
      <c r="F72" s="62">
        <f>'прил. 8'!G645</f>
        <v>52858.9</v>
      </c>
      <c r="G72" s="62">
        <f>'прил. 8'!H645</f>
        <v>0</v>
      </c>
      <c r="H72" s="49">
        <f t="shared" si="0"/>
        <v>52858.9</v>
      </c>
      <c r="I72" s="62">
        <f>'прил. 8'!J645</f>
        <v>0</v>
      </c>
      <c r="J72" s="49">
        <f t="shared" si="1"/>
        <v>52858.9</v>
      </c>
      <c r="K72" s="62">
        <f>'прил. 8'!L645</f>
        <v>-59.6</v>
      </c>
      <c r="L72" s="49">
        <f t="shared" si="2"/>
        <v>52799.3</v>
      </c>
      <c r="M72" s="62">
        <f>'прил. 8'!N645</f>
        <v>0</v>
      </c>
      <c r="N72" s="49">
        <f t="shared" si="3"/>
        <v>52799.3</v>
      </c>
    </row>
    <row r="73" spans="1:14" x14ac:dyDescent="0.2">
      <c r="A73" s="45" t="s">
        <v>532</v>
      </c>
      <c r="B73" s="79" t="s">
        <v>201</v>
      </c>
      <c r="C73" s="65" t="s">
        <v>60</v>
      </c>
      <c r="D73" s="46" t="s">
        <v>78</v>
      </c>
      <c r="E73" s="26"/>
      <c r="F73" s="62">
        <f>F74</f>
        <v>0</v>
      </c>
      <c r="G73" s="62">
        <f>G74</f>
        <v>0</v>
      </c>
      <c r="H73" s="49">
        <f t="shared" si="0"/>
        <v>0</v>
      </c>
      <c r="I73" s="62">
        <f>I74</f>
        <v>0</v>
      </c>
      <c r="J73" s="49">
        <f t="shared" si="1"/>
        <v>0</v>
      </c>
      <c r="K73" s="62">
        <f>K74</f>
        <v>966.30000000000007</v>
      </c>
      <c r="L73" s="49">
        <f t="shared" si="2"/>
        <v>966.30000000000007</v>
      </c>
      <c r="M73" s="62">
        <f>M74</f>
        <v>555.5</v>
      </c>
      <c r="N73" s="49">
        <f t="shared" si="3"/>
        <v>1521.8000000000002</v>
      </c>
    </row>
    <row r="74" spans="1:14" ht="33" x14ac:dyDescent="0.2">
      <c r="A74" s="50" t="str">
        <f ca="1">IF(ISERROR(MATCH(E74,Код_КВР,0)),"",INDIRECT(ADDRESS(MATCH(E74,Код_КВР,0)+1,2,,,"КВР")))</f>
        <v>Предоставление субсидий бюджетным, автономным учреждениям и иным некоммерческим организациям</v>
      </c>
      <c r="B74" s="79" t="s">
        <v>201</v>
      </c>
      <c r="C74" s="65" t="s">
        <v>60</v>
      </c>
      <c r="D74" s="46" t="s">
        <v>78</v>
      </c>
      <c r="E74" s="26">
        <v>600</v>
      </c>
      <c r="F74" s="62">
        <f>F75+F76</f>
        <v>0</v>
      </c>
      <c r="G74" s="62">
        <f>G75+G76</f>
        <v>0</v>
      </c>
      <c r="H74" s="49">
        <f t="shared" si="0"/>
        <v>0</v>
      </c>
      <c r="I74" s="62">
        <f>I75+I76</f>
        <v>0</v>
      </c>
      <c r="J74" s="49">
        <f t="shared" si="1"/>
        <v>0</v>
      </c>
      <c r="K74" s="62">
        <f>K75+K76</f>
        <v>966.30000000000007</v>
      </c>
      <c r="L74" s="49">
        <f t="shared" si="2"/>
        <v>966.30000000000007</v>
      </c>
      <c r="M74" s="62">
        <f>M75+M76</f>
        <v>555.5</v>
      </c>
      <c r="N74" s="49">
        <f t="shared" si="3"/>
        <v>1521.8000000000002</v>
      </c>
    </row>
    <row r="75" spans="1:14" x14ac:dyDescent="0.2">
      <c r="A75" s="50" t="str">
        <f ca="1">IF(ISERROR(MATCH(E75,Код_КВР,0)),"",INDIRECT(ADDRESS(MATCH(E75,Код_КВР,0)+1,2,,,"КВР")))</f>
        <v>Субсидии бюджетным учреждениям</v>
      </c>
      <c r="B75" s="79" t="s">
        <v>201</v>
      </c>
      <c r="C75" s="65" t="s">
        <v>60</v>
      </c>
      <c r="D75" s="46" t="s">
        <v>78</v>
      </c>
      <c r="E75" s="26">
        <v>610</v>
      </c>
      <c r="F75" s="62">
        <f>'прил. 8'!G830</f>
        <v>0</v>
      </c>
      <c r="G75" s="62">
        <f>'прил. 8'!H830</f>
        <v>0</v>
      </c>
      <c r="H75" s="49">
        <f t="shared" si="0"/>
        <v>0</v>
      </c>
      <c r="I75" s="62">
        <f>'прил. 8'!J830</f>
        <v>0</v>
      </c>
      <c r="J75" s="49">
        <f t="shared" si="1"/>
        <v>0</v>
      </c>
      <c r="K75" s="62">
        <f>'прил. 8'!L830</f>
        <v>906.7</v>
      </c>
      <c r="L75" s="49">
        <f t="shared" si="2"/>
        <v>906.7</v>
      </c>
      <c r="M75" s="62">
        <f>'прил. 8'!N830</f>
        <v>555.5</v>
      </c>
      <c r="N75" s="49">
        <f t="shared" si="3"/>
        <v>1462.2</v>
      </c>
    </row>
    <row r="76" spans="1:14" x14ac:dyDescent="0.2">
      <c r="A76" s="50" t="str">
        <f ca="1">IF(ISERROR(MATCH(E76,Код_КВР,0)),"",INDIRECT(ADDRESS(MATCH(E76,Код_КВР,0)+1,2,,,"КВР")))</f>
        <v>Субсидии автономным учреждениям</v>
      </c>
      <c r="B76" s="79" t="s">
        <v>201</v>
      </c>
      <c r="C76" s="65" t="s">
        <v>60</v>
      </c>
      <c r="D76" s="46" t="s">
        <v>78</v>
      </c>
      <c r="E76" s="26">
        <v>620</v>
      </c>
      <c r="F76" s="62">
        <f>'прил. 8'!G831</f>
        <v>0</v>
      </c>
      <c r="G76" s="62">
        <f>'прил. 8'!H831</f>
        <v>0</v>
      </c>
      <c r="H76" s="49">
        <f t="shared" si="0"/>
        <v>0</v>
      </c>
      <c r="I76" s="62">
        <f>'прил. 8'!J831</f>
        <v>0</v>
      </c>
      <c r="J76" s="49">
        <f t="shared" si="1"/>
        <v>0</v>
      </c>
      <c r="K76" s="62">
        <f>'прил. 8'!L831</f>
        <v>59.6</v>
      </c>
      <c r="L76" s="49">
        <f t="shared" si="2"/>
        <v>59.6</v>
      </c>
      <c r="M76" s="62">
        <f>'прил. 8'!N831</f>
        <v>0</v>
      </c>
      <c r="N76" s="49">
        <f t="shared" si="3"/>
        <v>59.6</v>
      </c>
    </row>
    <row r="77" spans="1:14" ht="66" x14ac:dyDescent="0.2">
      <c r="A77" s="50" t="str">
        <f ca="1">IF(ISERROR(MATCH(B77,Код_КЦСР,0)),"",INDIRECT(ADDRESS(MATCH(B77,Код_КЦСР,0)+1,2,,,"КЦСР")))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– образовательные программы дошкольного образования</v>
      </c>
      <c r="B77" s="79" t="s">
        <v>202</v>
      </c>
      <c r="C77" s="65"/>
      <c r="D77" s="46"/>
      <c r="E77" s="26"/>
      <c r="F77" s="62">
        <f t="shared" ref="F77:M81" si="11">F78</f>
        <v>73650</v>
      </c>
      <c r="G77" s="62">
        <f t="shared" si="11"/>
        <v>0</v>
      </c>
      <c r="H77" s="49">
        <f t="shared" si="0"/>
        <v>73650</v>
      </c>
      <c r="I77" s="62">
        <f t="shared" si="11"/>
        <v>0</v>
      </c>
      <c r="J77" s="49">
        <f t="shared" si="1"/>
        <v>73650</v>
      </c>
      <c r="K77" s="62">
        <f t="shared" si="11"/>
        <v>0</v>
      </c>
      <c r="L77" s="49">
        <f t="shared" si="2"/>
        <v>73650</v>
      </c>
      <c r="M77" s="62">
        <f t="shared" si="11"/>
        <v>0</v>
      </c>
      <c r="N77" s="49">
        <f t="shared" si="3"/>
        <v>73650</v>
      </c>
    </row>
    <row r="78" spans="1:14" ht="78" customHeight="1" x14ac:dyDescent="0.2">
      <c r="A78" s="50" t="str">
        <f ca="1">IF(ISERROR(MATCH(B78,Код_КЦСР,0)),"",INDIRECT(ADDRESS(MATCH(B78,Код_КЦСР,0)+1,2,,,"КЦСР")))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– образовательные программы дошкольного образования, за счет средств областного бюджета</v>
      </c>
      <c r="B78" s="79" t="s">
        <v>203</v>
      </c>
      <c r="C78" s="65"/>
      <c r="D78" s="46"/>
      <c r="E78" s="26"/>
      <c r="F78" s="62">
        <f t="shared" si="11"/>
        <v>73650</v>
      </c>
      <c r="G78" s="62">
        <f t="shared" si="11"/>
        <v>0</v>
      </c>
      <c r="H78" s="49">
        <f t="shared" si="0"/>
        <v>73650</v>
      </c>
      <c r="I78" s="62">
        <f t="shared" si="11"/>
        <v>0</v>
      </c>
      <c r="J78" s="49">
        <f t="shared" si="1"/>
        <v>73650</v>
      </c>
      <c r="K78" s="62">
        <f t="shared" si="11"/>
        <v>0</v>
      </c>
      <c r="L78" s="49">
        <f t="shared" si="2"/>
        <v>73650</v>
      </c>
      <c r="M78" s="62">
        <f t="shared" si="11"/>
        <v>0</v>
      </c>
      <c r="N78" s="49">
        <f t="shared" si="3"/>
        <v>73650</v>
      </c>
    </row>
    <row r="79" spans="1:14" x14ac:dyDescent="0.2">
      <c r="A79" s="50" t="str">
        <f ca="1">IF(ISERROR(MATCH(C79,Код_Раздел,0)),"",INDIRECT(ADDRESS(MATCH(C79,Код_Раздел,0)+1,2,,,"Раздел")))</f>
        <v>Социальная политика</v>
      </c>
      <c r="B79" s="79" t="s">
        <v>203</v>
      </c>
      <c r="C79" s="65" t="s">
        <v>53</v>
      </c>
      <c r="D79" s="46"/>
      <c r="E79" s="26"/>
      <c r="F79" s="62">
        <f t="shared" si="11"/>
        <v>73650</v>
      </c>
      <c r="G79" s="62">
        <f t="shared" si="11"/>
        <v>0</v>
      </c>
      <c r="H79" s="49">
        <f t="shared" si="0"/>
        <v>73650</v>
      </c>
      <c r="I79" s="62">
        <f t="shared" si="11"/>
        <v>0</v>
      </c>
      <c r="J79" s="49">
        <f t="shared" si="1"/>
        <v>73650</v>
      </c>
      <c r="K79" s="62">
        <f t="shared" si="11"/>
        <v>0</v>
      </c>
      <c r="L79" s="49">
        <f t="shared" si="2"/>
        <v>73650</v>
      </c>
      <c r="M79" s="62">
        <f t="shared" si="11"/>
        <v>0</v>
      </c>
      <c r="N79" s="49">
        <f t="shared" si="3"/>
        <v>73650</v>
      </c>
    </row>
    <row r="80" spans="1:14" x14ac:dyDescent="0.2">
      <c r="A80" s="50" t="s">
        <v>66</v>
      </c>
      <c r="B80" s="79" t="s">
        <v>203</v>
      </c>
      <c r="C80" s="65" t="s">
        <v>53</v>
      </c>
      <c r="D80" s="46" t="s">
        <v>73</v>
      </c>
      <c r="E80" s="26"/>
      <c r="F80" s="62">
        <f t="shared" si="11"/>
        <v>73650</v>
      </c>
      <c r="G80" s="62">
        <f t="shared" si="11"/>
        <v>0</v>
      </c>
      <c r="H80" s="49">
        <f t="shared" si="0"/>
        <v>73650</v>
      </c>
      <c r="I80" s="62">
        <f t="shared" si="11"/>
        <v>0</v>
      </c>
      <c r="J80" s="49">
        <f t="shared" si="1"/>
        <v>73650</v>
      </c>
      <c r="K80" s="62">
        <f t="shared" si="11"/>
        <v>0</v>
      </c>
      <c r="L80" s="49">
        <f t="shared" si="2"/>
        <v>73650</v>
      </c>
      <c r="M80" s="62">
        <f t="shared" si="11"/>
        <v>0</v>
      </c>
      <c r="N80" s="49">
        <f t="shared" si="3"/>
        <v>73650</v>
      </c>
    </row>
    <row r="81" spans="1:14" x14ac:dyDescent="0.2">
      <c r="A81" s="50" t="str">
        <f ca="1">IF(ISERROR(MATCH(E81,Код_КВР,0)),"",INDIRECT(ADDRESS(MATCH(E81,Код_КВР,0)+1,2,,,"КВР")))</f>
        <v>Социальное обеспечение и иные выплаты населению</v>
      </c>
      <c r="B81" s="79" t="s">
        <v>203</v>
      </c>
      <c r="C81" s="65" t="s">
        <v>53</v>
      </c>
      <c r="D81" s="46" t="s">
        <v>73</v>
      </c>
      <c r="E81" s="26">
        <v>300</v>
      </c>
      <c r="F81" s="62">
        <f t="shared" si="11"/>
        <v>73650</v>
      </c>
      <c r="G81" s="62">
        <f t="shared" si="11"/>
        <v>0</v>
      </c>
      <c r="H81" s="49">
        <f t="shared" si="0"/>
        <v>73650</v>
      </c>
      <c r="I81" s="62">
        <f t="shared" si="11"/>
        <v>0</v>
      </c>
      <c r="J81" s="49">
        <f t="shared" si="1"/>
        <v>73650</v>
      </c>
      <c r="K81" s="62">
        <f t="shared" si="11"/>
        <v>0</v>
      </c>
      <c r="L81" s="49">
        <f t="shared" si="2"/>
        <v>73650</v>
      </c>
      <c r="M81" s="62">
        <f t="shared" si="11"/>
        <v>0</v>
      </c>
      <c r="N81" s="49">
        <f t="shared" si="3"/>
        <v>73650</v>
      </c>
    </row>
    <row r="82" spans="1:14" ht="39" customHeight="1" x14ac:dyDescent="0.2">
      <c r="A82" s="50" t="str">
        <f ca="1">IF(ISERROR(MATCH(E82,Код_КВР,0)),"",INDIRECT(ADDRESS(MATCH(E82,Код_КВР,0)+1,2,,,"КВР")))</f>
        <v>Социальные выплаты гражданам, кроме публичных нормативных социальных выплат</v>
      </c>
      <c r="B82" s="79" t="s">
        <v>203</v>
      </c>
      <c r="C82" s="65" t="s">
        <v>53</v>
      </c>
      <c r="D82" s="46" t="s">
        <v>73</v>
      </c>
      <c r="E82" s="26">
        <v>320</v>
      </c>
      <c r="F82" s="62">
        <f>'прил. 8'!G882</f>
        <v>73650</v>
      </c>
      <c r="G82" s="62">
        <f>'прил. 8'!H882</f>
        <v>0</v>
      </c>
      <c r="H82" s="49">
        <f t="shared" si="0"/>
        <v>73650</v>
      </c>
      <c r="I82" s="62">
        <f>'прил. 8'!J882</f>
        <v>0</v>
      </c>
      <c r="J82" s="49">
        <f t="shared" si="1"/>
        <v>73650</v>
      </c>
      <c r="K82" s="62">
        <f>'прил. 8'!L882</f>
        <v>0</v>
      </c>
      <c r="L82" s="49">
        <f t="shared" si="2"/>
        <v>73650</v>
      </c>
      <c r="M82" s="62">
        <f>'прил. 8'!N882</f>
        <v>0</v>
      </c>
      <c r="N82" s="49">
        <f t="shared" ref="N82:N145" si="12">L82+M82</f>
        <v>73650</v>
      </c>
    </row>
    <row r="83" spans="1:14" ht="54" customHeight="1" x14ac:dyDescent="0.2">
      <c r="A83" s="50" t="str">
        <f ca="1">IF(ISERROR(MATCH(B83,Код_КЦСР,0)),"",INDIRECT(ADDRESS(MATCH(B83,Код_КЦСР,0)+1,2,,,"КЦСР")))</f>
        <v>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v>
      </c>
      <c r="B83" s="79" t="s">
        <v>634</v>
      </c>
      <c r="C83" s="65"/>
      <c r="D83" s="46"/>
      <c r="E83" s="26"/>
      <c r="F83" s="62">
        <f t="shared" ref="F83:M87" si="13">F84</f>
        <v>1030.5</v>
      </c>
      <c r="G83" s="62">
        <f t="shared" si="13"/>
        <v>0</v>
      </c>
      <c r="H83" s="49">
        <f t="shared" si="0"/>
        <v>1030.5</v>
      </c>
      <c r="I83" s="62">
        <f>I84+I95+I89+I101</f>
        <v>800</v>
      </c>
      <c r="J83" s="49">
        <f t="shared" si="1"/>
        <v>1830.5</v>
      </c>
      <c r="K83" s="62">
        <f>K84+K95+K89+K101</f>
        <v>0</v>
      </c>
      <c r="L83" s="49">
        <f t="shared" si="2"/>
        <v>1830.5</v>
      </c>
      <c r="M83" s="62">
        <f>M84+M95+M89+M101</f>
        <v>0</v>
      </c>
      <c r="N83" s="49">
        <f t="shared" si="12"/>
        <v>1830.5</v>
      </c>
    </row>
    <row r="84" spans="1:14" ht="37.5" hidden="1" customHeight="1" x14ac:dyDescent="0.2">
      <c r="A84" s="50" t="str">
        <f ca="1">IF(ISERROR(MATCH(B84,Код_КЦСР,0)),"",INDIRECT(ADDRESS(MATCH(B84,Код_КЦСР,0)+1,2,,,"КЦСР")))</f>
        <v>Мероприятия государственной программы Российской Федерации «Доступная среда», за счет средств федерального бюджета</v>
      </c>
      <c r="B84" s="79" t="s">
        <v>638</v>
      </c>
      <c r="C84" s="65"/>
      <c r="D84" s="46"/>
      <c r="E84" s="26"/>
      <c r="F84" s="62">
        <f t="shared" si="13"/>
        <v>1030.5</v>
      </c>
      <c r="G84" s="62">
        <f t="shared" si="13"/>
        <v>0</v>
      </c>
      <c r="H84" s="49">
        <f t="shared" si="0"/>
        <v>1030.5</v>
      </c>
      <c r="I84" s="62">
        <f t="shared" si="13"/>
        <v>-1030.5</v>
      </c>
      <c r="J84" s="49">
        <f t="shared" si="1"/>
        <v>0</v>
      </c>
      <c r="K84" s="62">
        <f t="shared" si="13"/>
        <v>0</v>
      </c>
      <c r="L84" s="49">
        <f t="shared" si="2"/>
        <v>0</v>
      </c>
      <c r="M84" s="62">
        <f t="shared" si="13"/>
        <v>0</v>
      </c>
      <c r="N84" s="49">
        <f t="shared" si="12"/>
        <v>0</v>
      </c>
    </row>
    <row r="85" spans="1:14" ht="21" hidden="1" customHeight="1" x14ac:dyDescent="0.2">
      <c r="A85" s="50" t="str">
        <f ca="1">IF(ISERROR(MATCH(C85,Код_Раздел,0)),"",INDIRECT(ADDRESS(MATCH(C85,Код_Раздел,0)+1,2,,,"Раздел")))</f>
        <v>Образование</v>
      </c>
      <c r="B85" s="79" t="s">
        <v>638</v>
      </c>
      <c r="C85" s="65" t="s">
        <v>60</v>
      </c>
      <c r="D85" s="46"/>
      <c r="E85" s="26"/>
      <c r="F85" s="62">
        <f t="shared" si="13"/>
        <v>1030.5</v>
      </c>
      <c r="G85" s="62">
        <f t="shared" si="13"/>
        <v>0</v>
      </c>
      <c r="H85" s="49">
        <f t="shared" ref="H85:H167" si="14">F85+G85</f>
        <v>1030.5</v>
      </c>
      <c r="I85" s="62">
        <f t="shared" si="13"/>
        <v>-1030.5</v>
      </c>
      <c r="J85" s="49">
        <f t="shared" ref="J85:J149" si="15">H85+I85</f>
        <v>0</v>
      </c>
      <c r="K85" s="62">
        <f t="shared" si="13"/>
        <v>0</v>
      </c>
      <c r="L85" s="49">
        <f t="shared" ref="L85:L148" si="16">J85+K85</f>
        <v>0</v>
      </c>
      <c r="M85" s="62">
        <f t="shared" si="13"/>
        <v>0</v>
      </c>
      <c r="N85" s="49">
        <f t="shared" si="12"/>
        <v>0</v>
      </c>
    </row>
    <row r="86" spans="1:14" ht="19.5" hidden="1" customHeight="1" x14ac:dyDescent="0.2">
      <c r="A86" s="50" t="s">
        <v>109</v>
      </c>
      <c r="B86" s="79" t="s">
        <v>638</v>
      </c>
      <c r="C86" s="65" t="s">
        <v>60</v>
      </c>
      <c r="D86" s="46" t="s">
        <v>70</v>
      </c>
      <c r="E86" s="26"/>
      <c r="F86" s="62">
        <f t="shared" si="13"/>
        <v>1030.5</v>
      </c>
      <c r="G86" s="62">
        <f t="shared" si="13"/>
        <v>0</v>
      </c>
      <c r="H86" s="49">
        <f t="shared" si="14"/>
        <v>1030.5</v>
      </c>
      <c r="I86" s="62">
        <f t="shared" si="13"/>
        <v>-1030.5</v>
      </c>
      <c r="J86" s="49">
        <f t="shared" si="15"/>
        <v>0</v>
      </c>
      <c r="K86" s="62">
        <f t="shared" si="13"/>
        <v>0</v>
      </c>
      <c r="L86" s="49">
        <f t="shared" si="16"/>
        <v>0</v>
      </c>
      <c r="M86" s="62">
        <f t="shared" si="13"/>
        <v>0</v>
      </c>
      <c r="N86" s="49">
        <f t="shared" si="12"/>
        <v>0</v>
      </c>
    </row>
    <row r="87" spans="1:14" ht="39" hidden="1" customHeight="1" x14ac:dyDescent="0.2">
      <c r="A87" s="50" t="str">
        <f ca="1">IF(ISERROR(MATCH(E87,Код_КВР,0)),"",INDIRECT(ADDRESS(MATCH(E87,Код_КВР,0)+1,2,,,"КВР")))</f>
        <v>Предоставление субсидий бюджетным, автономным учреждениям и иным некоммерческим организациям</v>
      </c>
      <c r="B87" s="79" t="s">
        <v>638</v>
      </c>
      <c r="C87" s="65" t="s">
        <v>60</v>
      </c>
      <c r="D87" s="46" t="s">
        <v>70</v>
      </c>
      <c r="E87" s="26">
        <v>600</v>
      </c>
      <c r="F87" s="62">
        <f t="shared" si="13"/>
        <v>1030.5</v>
      </c>
      <c r="G87" s="62">
        <f t="shared" si="13"/>
        <v>0</v>
      </c>
      <c r="H87" s="49">
        <f t="shared" si="14"/>
        <v>1030.5</v>
      </c>
      <c r="I87" s="62">
        <f t="shared" si="13"/>
        <v>-1030.5</v>
      </c>
      <c r="J87" s="49">
        <f t="shared" si="15"/>
        <v>0</v>
      </c>
      <c r="K87" s="62">
        <f t="shared" si="13"/>
        <v>0</v>
      </c>
      <c r="L87" s="49">
        <f t="shared" si="16"/>
        <v>0</v>
      </c>
      <c r="M87" s="62">
        <f t="shared" si="13"/>
        <v>0</v>
      </c>
      <c r="N87" s="49">
        <f t="shared" si="12"/>
        <v>0</v>
      </c>
    </row>
    <row r="88" spans="1:14" ht="19.5" hidden="1" customHeight="1" x14ac:dyDescent="0.2">
      <c r="A88" s="50" t="str">
        <f ca="1">IF(ISERROR(MATCH(E88,Код_КВР,0)),"",INDIRECT(ADDRESS(MATCH(E88,Код_КВР,0)+1,2,,,"КВР")))</f>
        <v>Субсидии автономным учреждениям</v>
      </c>
      <c r="B88" s="79" t="s">
        <v>638</v>
      </c>
      <c r="C88" s="65" t="s">
        <v>60</v>
      </c>
      <c r="D88" s="46" t="s">
        <v>70</v>
      </c>
      <c r="E88" s="26">
        <v>620</v>
      </c>
      <c r="F88" s="62">
        <f>'прил. 8'!G649</f>
        <v>1030.5</v>
      </c>
      <c r="G88" s="62">
        <f>'прил. 8'!H649</f>
        <v>0</v>
      </c>
      <c r="H88" s="49">
        <f t="shared" si="14"/>
        <v>1030.5</v>
      </c>
      <c r="I88" s="62">
        <f>'прил. 8'!J649</f>
        <v>-1030.5</v>
      </c>
      <c r="J88" s="49">
        <f t="shared" si="15"/>
        <v>0</v>
      </c>
      <c r="K88" s="62">
        <f>'прил. 8'!L649</f>
        <v>0</v>
      </c>
      <c r="L88" s="49">
        <f t="shared" si="16"/>
        <v>0</v>
      </c>
      <c r="M88" s="62">
        <f>'прил. 8'!N649</f>
        <v>0</v>
      </c>
      <c r="N88" s="49">
        <f t="shared" si="12"/>
        <v>0</v>
      </c>
    </row>
    <row r="89" spans="1:14" ht="113.25" customHeight="1" x14ac:dyDescent="0.2">
      <c r="A89" s="50" t="str">
        <f ca="1">IF(ISERROR(MATCH(B89,Код_КЦСР,0)),"",INDIRECT(ADDRESS(MATCH(B89,Код_КЦСР,0)+1,2,,,"КЦСР")))</f>
        <v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образования, в рамках софинансирования с федеральным бюджетом</v>
      </c>
      <c r="B89" s="79" t="s">
        <v>674</v>
      </c>
      <c r="C89" s="65"/>
      <c r="D89" s="46"/>
      <c r="E89" s="26"/>
      <c r="F89" s="62"/>
      <c r="G89" s="62"/>
      <c r="H89" s="49"/>
      <c r="I89" s="62">
        <f>I90</f>
        <v>184</v>
      </c>
      <c r="J89" s="49">
        <f t="shared" si="15"/>
        <v>184</v>
      </c>
      <c r="K89" s="62">
        <f>K90</f>
        <v>432</v>
      </c>
      <c r="L89" s="49">
        <f t="shared" si="16"/>
        <v>616</v>
      </c>
      <c r="M89" s="62">
        <f>M90</f>
        <v>0</v>
      </c>
      <c r="N89" s="49">
        <f t="shared" si="12"/>
        <v>616</v>
      </c>
    </row>
    <row r="90" spans="1:14" ht="19.5" customHeight="1" x14ac:dyDescent="0.2">
      <c r="A90" s="50" t="str">
        <f ca="1">IF(ISERROR(MATCH(C90,Код_Раздел,0)),"",INDIRECT(ADDRESS(MATCH(C90,Код_Раздел,0)+1,2,,,"Раздел")))</f>
        <v>Образование</v>
      </c>
      <c r="B90" s="79" t="s">
        <v>674</v>
      </c>
      <c r="C90" s="65" t="s">
        <v>60</v>
      </c>
      <c r="D90" s="46"/>
      <c r="E90" s="26"/>
      <c r="F90" s="62"/>
      <c r="G90" s="62"/>
      <c r="H90" s="49"/>
      <c r="I90" s="62">
        <f>I91</f>
        <v>184</v>
      </c>
      <c r="J90" s="49">
        <f t="shared" si="15"/>
        <v>184</v>
      </c>
      <c r="K90" s="62">
        <f>K91</f>
        <v>432</v>
      </c>
      <c r="L90" s="49">
        <f t="shared" si="16"/>
        <v>616</v>
      </c>
      <c r="M90" s="62">
        <f>M91</f>
        <v>0</v>
      </c>
      <c r="N90" s="49">
        <f t="shared" si="12"/>
        <v>616</v>
      </c>
    </row>
    <row r="91" spans="1:14" ht="19.5" customHeight="1" x14ac:dyDescent="0.2">
      <c r="A91" s="50" t="s">
        <v>109</v>
      </c>
      <c r="B91" s="79" t="s">
        <v>674</v>
      </c>
      <c r="C91" s="65" t="s">
        <v>60</v>
      </c>
      <c r="D91" s="46" t="s">
        <v>70</v>
      </c>
      <c r="E91" s="26"/>
      <c r="F91" s="62"/>
      <c r="G91" s="62"/>
      <c r="H91" s="49"/>
      <c r="I91" s="62">
        <f>I92</f>
        <v>184</v>
      </c>
      <c r="J91" s="49">
        <f t="shared" si="15"/>
        <v>184</v>
      </c>
      <c r="K91" s="62">
        <f>K92</f>
        <v>432</v>
      </c>
      <c r="L91" s="49">
        <f t="shared" si="16"/>
        <v>616</v>
      </c>
      <c r="M91" s="62">
        <f>M92</f>
        <v>0</v>
      </c>
      <c r="N91" s="49">
        <f t="shared" si="12"/>
        <v>616</v>
      </c>
    </row>
    <row r="92" spans="1:14" ht="19.5" customHeight="1" x14ac:dyDescent="0.2">
      <c r="A92" s="50" t="str">
        <f ca="1">IF(ISERROR(MATCH(E92,Код_КВР,0)),"",INDIRECT(ADDRESS(MATCH(E92,Код_КВР,0)+1,2,,,"КВР")))</f>
        <v>Предоставление субсидий бюджетным, автономным учреждениям и иным некоммерческим организациям</v>
      </c>
      <c r="B92" s="79" t="s">
        <v>674</v>
      </c>
      <c r="C92" s="65" t="s">
        <v>60</v>
      </c>
      <c r="D92" s="46" t="s">
        <v>70</v>
      </c>
      <c r="E92" s="26">
        <v>600</v>
      </c>
      <c r="F92" s="62"/>
      <c r="G92" s="62"/>
      <c r="H92" s="49"/>
      <c r="I92" s="62">
        <f>SUM(I93:I94)</f>
        <v>184</v>
      </c>
      <c r="J92" s="49">
        <f t="shared" si="15"/>
        <v>184</v>
      </c>
      <c r="K92" s="62">
        <f>SUM(K93:K94)</f>
        <v>432</v>
      </c>
      <c r="L92" s="49">
        <f t="shared" si="16"/>
        <v>616</v>
      </c>
      <c r="M92" s="62">
        <f>SUM(M93:M94)</f>
        <v>0</v>
      </c>
      <c r="N92" s="49">
        <f t="shared" si="12"/>
        <v>616</v>
      </c>
    </row>
    <row r="93" spans="1:14" ht="19.5" customHeight="1" x14ac:dyDescent="0.2">
      <c r="A93" s="50" t="str">
        <f ca="1">IF(ISERROR(MATCH(E93,Код_КВР,0)),"",INDIRECT(ADDRESS(MATCH(E93,Код_КВР,0)+1,2,,,"КВР")))</f>
        <v>Субсидии бюджетным учреждениям</v>
      </c>
      <c r="B93" s="79" t="s">
        <v>674</v>
      </c>
      <c r="C93" s="65" t="s">
        <v>60</v>
      </c>
      <c r="D93" s="46" t="s">
        <v>70</v>
      </c>
      <c r="E93" s="26">
        <v>610</v>
      </c>
      <c r="F93" s="62"/>
      <c r="G93" s="62"/>
      <c r="H93" s="49"/>
      <c r="I93" s="62">
        <f>'прил. 8'!J652</f>
        <v>92</v>
      </c>
      <c r="J93" s="49">
        <f t="shared" si="15"/>
        <v>92</v>
      </c>
      <c r="K93" s="62">
        <f>'прил. 8'!L652</f>
        <v>216</v>
      </c>
      <c r="L93" s="49">
        <f t="shared" si="16"/>
        <v>308</v>
      </c>
      <c r="M93" s="62">
        <f>'прил. 8'!N652</f>
        <v>0</v>
      </c>
      <c r="N93" s="49">
        <f t="shared" si="12"/>
        <v>308</v>
      </c>
    </row>
    <row r="94" spans="1:14" ht="19.5" customHeight="1" x14ac:dyDescent="0.2">
      <c r="A94" s="50" t="str">
        <f ca="1">IF(ISERROR(MATCH(E94,Код_КВР,0)),"",INDIRECT(ADDRESS(MATCH(E94,Код_КВР,0)+1,2,,,"КВР")))</f>
        <v>Субсидии автономным учреждениям</v>
      </c>
      <c r="B94" s="79" t="s">
        <v>674</v>
      </c>
      <c r="C94" s="65" t="s">
        <v>60</v>
      </c>
      <c r="D94" s="46" t="s">
        <v>70</v>
      </c>
      <c r="E94" s="26">
        <v>620</v>
      </c>
      <c r="F94" s="62"/>
      <c r="G94" s="62"/>
      <c r="H94" s="49"/>
      <c r="I94" s="62">
        <f>'прил. 8'!J653</f>
        <v>92</v>
      </c>
      <c r="J94" s="49">
        <f t="shared" si="15"/>
        <v>92</v>
      </c>
      <c r="K94" s="62">
        <f>'прил. 8'!L653</f>
        <v>216</v>
      </c>
      <c r="L94" s="49">
        <f t="shared" si="16"/>
        <v>308</v>
      </c>
      <c r="M94" s="62">
        <f>'прил. 8'!N653</f>
        <v>0</v>
      </c>
      <c r="N94" s="49">
        <f t="shared" si="12"/>
        <v>308</v>
      </c>
    </row>
    <row r="95" spans="1:14" ht="105" customHeight="1" x14ac:dyDescent="0.2">
      <c r="A95" s="50" t="str">
        <f ca="1">IF(ISERROR(MATCH(B95,Код_КЦСР,0)),"",INDIRECT(ADDRESS(MATCH(B95,Код_КЦСР,0)+1,2,,,"КЦСР")))</f>
        <v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образования, за счет средств вышестоящих бюджетов</v>
      </c>
      <c r="B95" s="79" t="s">
        <v>672</v>
      </c>
      <c r="C95" s="65"/>
      <c r="D95" s="46"/>
      <c r="E95" s="26"/>
      <c r="F95" s="62"/>
      <c r="G95" s="62"/>
      <c r="H95" s="49"/>
      <c r="I95" s="62">
        <f>I96</f>
        <v>1030.5</v>
      </c>
      <c r="J95" s="49">
        <f t="shared" si="15"/>
        <v>1030.5</v>
      </c>
      <c r="K95" s="62">
        <f>K96</f>
        <v>0</v>
      </c>
      <c r="L95" s="49">
        <f t="shared" si="16"/>
        <v>1030.5</v>
      </c>
      <c r="M95" s="62">
        <f>M96</f>
        <v>0</v>
      </c>
      <c r="N95" s="49">
        <f t="shared" si="12"/>
        <v>1030.5</v>
      </c>
    </row>
    <row r="96" spans="1:14" ht="19.5" customHeight="1" x14ac:dyDescent="0.2">
      <c r="A96" s="50" t="str">
        <f ca="1">IF(ISERROR(MATCH(C96,Код_Раздел,0)),"",INDIRECT(ADDRESS(MATCH(C96,Код_Раздел,0)+1,2,,,"Раздел")))</f>
        <v>Образование</v>
      </c>
      <c r="B96" s="79" t="s">
        <v>672</v>
      </c>
      <c r="C96" s="65" t="s">
        <v>60</v>
      </c>
      <c r="D96" s="46"/>
      <c r="E96" s="26"/>
      <c r="F96" s="62"/>
      <c r="G96" s="62"/>
      <c r="H96" s="49"/>
      <c r="I96" s="62">
        <f>I97</f>
        <v>1030.5</v>
      </c>
      <c r="J96" s="49">
        <f t="shared" si="15"/>
        <v>1030.5</v>
      </c>
      <c r="K96" s="62">
        <f>K97</f>
        <v>0</v>
      </c>
      <c r="L96" s="49">
        <f t="shared" si="16"/>
        <v>1030.5</v>
      </c>
      <c r="M96" s="62">
        <f>M97</f>
        <v>0</v>
      </c>
      <c r="N96" s="49">
        <f t="shared" si="12"/>
        <v>1030.5</v>
      </c>
    </row>
    <row r="97" spans="1:14" ht="23.25" customHeight="1" x14ac:dyDescent="0.2">
      <c r="A97" s="50" t="s">
        <v>109</v>
      </c>
      <c r="B97" s="79" t="s">
        <v>672</v>
      </c>
      <c r="C97" s="65" t="s">
        <v>60</v>
      </c>
      <c r="D97" s="46" t="s">
        <v>70</v>
      </c>
      <c r="E97" s="26"/>
      <c r="F97" s="62"/>
      <c r="G97" s="62"/>
      <c r="H97" s="49"/>
      <c r="I97" s="62">
        <f>I98</f>
        <v>1030.5</v>
      </c>
      <c r="J97" s="49">
        <f t="shared" si="15"/>
        <v>1030.5</v>
      </c>
      <c r="K97" s="62">
        <f>K98</f>
        <v>0</v>
      </c>
      <c r="L97" s="49">
        <f t="shared" si="16"/>
        <v>1030.5</v>
      </c>
      <c r="M97" s="62">
        <f>M98</f>
        <v>0</v>
      </c>
      <c r="N97" s="49">
        <f t="shared" si="12"/>
        <v>1030.5</v>
      </c>
    </row>
    <row r="98" spans="1:14" ht="36.75" customHeight="1" x14ac:dyDescent="0.2">
      <c r="A98" s="50" t="str">
        <f ca="1">IF(ISERROR(MATCH(E98,Код_КВР,0)),"",INDIRECT(ADDRESS(MATCH(E98,Код_КВР,0)+1,2,,,"КВР")))</f>
        <v>Предоставление субсидий бюджетным, автономным учреждениям и иным некоммерческим организациям</v>
      </c>
      <c r="B98" s="79" t="s">
        <v>672</v>
      </c>
      <c r="C98" s="65" t="s">
        <v>60</v>
      </c>
      <c r="D98" s="46" t="s">
        <v>70</v>
      </c>
      <c r="E98" s="26">
        <v>600</v>
      </c>
      <c r="F98" s="62"/>
      <c r="G98" s="62"/>
      <c r="H98" s="49"/>
      <c r="I98" s="62">
        <f>SUM(I99:I100)</f>
        <v>1030.5</v>
      </c>
      <c r="J98" s="49">
        <f t="shared" si="15"/>
        <v>1030.5</v>
      </c>
      <c r="K98" s="62">
        <f>SUM(K99:K100)</f>
        <v>0</v>
      </c>
      <c r="L98" s="49">
        <f t="shared" si="16"/>
        <v>1030.5</v>
      </c>
      <c r="M98" s="62">
        <f>SUM(M99:M100)</f>
        <v>0</v>
      </c>
      <c r="N98" s="49">
        <f t="shared" si="12"/>
        <v>1030.5</v>
      </c>
    </row>
    <row r="99" spans="1:14" ht="25.5" customHeight="1" x14ac:dyDescent="0.2">
      <c r="A99" s="50" t="str">
        <f ca="1">IF(ISERROR(MATCH(E99,Код_КВР,0)),"",INDIRECT(ADDRESS(MATCH(E99,Код_КВР,0)+1,2,,,"КВР")))</f>
        <v>Субсидии бюджетным учреждениям</v>
      </c>
      <c r="B99" s="79" t="s">
        <v>672</v>
      </c>
      <c r="C99" s="65" t="s">
        <v>60</v>
      </c>
      <c r="D99" s="46" t="s">
        <v>70</v>
      </c>
      <c r="E99" s="26">
        <v>610</v>
      </c>
      <c r="F99" s="62"/>
      <c r="G99" s="62"/>
      <c r="H99" s="49"/>
      <c r="I99" s="62">
        <f>'прил. 8'!J656</f>
        <v>500</v>
      </c>
      <c r="J99" s="49">
        <f t="shared" si="15"/>
        <v>500</v>
      </c>
      <c r="K99" s="62">
        <f>'прил. 8'!L656</f>
        <v>0</v>
      </c>
      <c r="L99" s="49">
        <f t="shared" si="16"/>
        <v>500</v>
      </c>
      <c r="M99" s="62">
        <f>'прил. 8'!N656</f>
        <v>0</v>
      </c>
      <c r="N99" s="49">
        <f t="shared" si="12"/>
        <v>500</v>
      </c>
    </row>
    <row r="100" spans="1:14" ht="19.5" customHeight="1" x14ac:dyDescent="0.2">
      <c r="A100" s="50" t="str">
        <f ca="1">IF(ISERROR(MATCH(E100,Код_КВР,0)),"",INDIRECT(ADDRESS(MATCH(E100,Код_КВР,0)+1,2,,,"КВР")))</f>
        <v>Субсидии автономным учреждениям</v>
      </c>
      <c r="B100" s="79" t="s">
        <v>672</v>
      </c>
      <c r="C100" s="65" t="s">
        <v>60</v>
      </c>
      <c r="D100" s="46" t="s">
        <v>70</v>
      </c>
      <c r="E100" s="26">
        <v>620</v>
      </c>
      <c r="F100" s="62"/>
      <c r="G100" s="62"/>
      <c r="H100" s="49"/>
      <c r="I100" s="62">
        <f>'прил. 8'!J657</f>
        <v>530.5</v>
      </c>
      <c r="J100" s="49">
        <f t="shared" si="15"/>
        <v>530.5</v>
      </c>
      <c r="K100" s="62">
        <f>'прил. 8'!L657</f>
        <v>0</v>
      </c>
      <c r="L100" s="49">
        <f t="shared" si="16"/>
        <v>530.5</v>
      </c>
      <c r="M100" s="62">
        <f>'прил. 8'!N657</f>
        <v>0</v>
      </c>
      <c r="N100" s="49">
        <f t="shared" si="12"/>
        <v>530.5</v>
      </c>
    </row>
    <row r="101" spans="1:14" ht="115.5" customHeight="1" x14ac:dyDescent="0.2">
      <c r="A101" s="50" t="str">
        <f ca="1">IF(ISERROR(MATCH(B101,Код_КЦСР,0)),"",INDIRECT(ADDRESS(MATCH(B101,Код_КЦСР,0)+1,2,,,"КЦСР")))</f>
        <v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образования, в рамках софинансирования с областным бюджетом</v>
      </c>
      <c r="B101" s="79" t="s">
        <v>675</v>
      </c>
      <c r="C101" s="65"/>
      <c r="D101" s="46"/>
      <c r="E101" s="26"/>
      <c r="F101" s="62"/>
      <c r="G101" s="62"/>
      <c r="H101" s="49"/>
      <c r="I101" s="62">
        <f>I102</f>
        <v>616</v>
      </c>
      <c r="J101" s="49">
        <f t="shared" si="15"/>
        <v>616</v>
      </c>
      <c r="K101" s="62">
        <f>K102</f>
        <v>-432</v>
      </c>
      <c r="L101" s="49">
        <f t="shared" si="16"/>
        <v>184</v>
      </c>
      <c r="M101" s="62">
        <f>M102</f>
        <v>0</v>
      </c>
      <c r="N101" s="49">
        <f t="shared" si="12"/>
        <v>184</v>
      </c>
    </row>
    <row r="102" spans="1:14" ht="19.5" customHeight="1" x14ac:dyDescent="0.2">
      <c r="A102" s="50" t="str">
        <f ca="1">IF(ISERROR(MATCH(C102,Код_Раздел,0)),"",INDIRECT(ADDRESS(MATCH(C102,Код_Раздел,0)+1,2,,,"Раздел")))</f>
        <v>Образование</v>
      </c>
      <c r="B102" s="79" t="s">
        <v>675</v>
      </c>
      <c r="C102" s="65" t="s">
        <v>60</v>
      </c>
      <c r="D102" s="46"/>
      <c r="E102" s="26"/>
      <c r="F102" s="62"/>
      <c r="G102" s="62"/>
      <c r="H102" s="49"/>
      <c r="I102" s="62">
        <f>I103</f>
        <v>616</v>
      </c>
      <c r="J102" s="49">
        <f t="shared" si="15"/>
        <v>616</v>
      </c>
      <c r="K102" s="62">
        <f>K103</f>
        <v>-432</v>
      </c>
      <c r="L102" s="49">
        <f t="shared" si="16"/>
        <v>184</v>
      </c>
      <c r="M102" s="62">
        <f>M103</f>
        <v>0</v>
      </c>
      <c r="N102" s="49">
        <f t="shared" si="12"/>
        <v>184</v>
      </c>
    </row>
    <row r="103" spans="1:14" ht="19.5" customHeight="1" x14ac:dyDescent="0.2">
      <c r="A103" s="50" t="s">
        <v>109</v>
      </c>
      <c r="B103" s="79" t="s">
        <v>675</v>
      </c>
      <c r="C103" s="65" t="s">
        <v>60</v>
      </c>
      <c r="D103" s="46" t="s">
        <v>70</v>
      </c>
      <c r="E103" s="26"/>
      <c r="F103" s="62"/>
      <c r="G103" s="62"/>
      <c r="H103" s="49"/>
      <c r="I103" s="62">
        <f>I104</f>
        <v>616</v>
      </c>
      <c r="J103" s="49">
        <f t="shared" si="15"/>
        <v>616</v>
      </c>
      <c r="K103" s="62">
        <f>K104</f>
        <v>-432</v>
      </c>
      <c r="L103" s="49">
        <f t="shared" si="16"/>
        <v>184</v>
      </c>
      <c r="M103" s="62">
        <f>M104</f>
        <v>0</v>
      </c>
      <c r="N103" s="49">
        <f t="shared" si="12"/>
        <v>184</v>
      </c>
    </row>
    <row r="104" spans="1:14" ht="39" customHeight="1" x14ac:dyDescent="0.2">
      <c r="A104" s="50" t="str">
        <f ca="1">IF(ISERROR(MATCH(E104,Код_КВР,0)),"",INDIRECT(ADDRESS(MATCH(E104,Код_КВР,0)+1,2,,,"КВР")))</f>
        <v>Предоставление субсидий бюджетным, автономным учреждениям и иным некоммерческим организациям</v>
      </c>
      <c r="B104" s="79" t="s">
        <v>675</v>
      </c>
      <c r="C104" s="65" t="s">
        <v>60</v>
      </c>
      <c r="D104" s="46" t="s">
        <v>70</v>
      </c>
      <c r="E104" s="26">
        <v>600</v>
      </c>
      <c r="F104" s="62"/>
      <c r="G104" s="62"/>
      <c r="H104" s="49"/>
      <c r="I104" s="62">
        <f>SUM(I105:I106)</f>
        <v>616</v>
      </c>
      <c r="J104" s="49">
        <f t="shared" si="15"/>
        <v>616</v>
      </c>
      <c r="K104" s="62">
        <f>SUM(K105:K106)</f>
        <v>-432</v>
      </c>
      <c r="L104" s="49">
        <f t="shared" si="16"/>
        <v>184</v>
      </c>
      <c r="M104" s="62">
        <f>SUM(M105:M106)</f>
        <v>0</v>
      </c>
      <c r="N104" s="49">
        <f t="shared" si="12"/>
        <v>184</v>
      </c>
    </row>
    <row r="105" spans="1:14" ht="19.5" customHeight="1" x14ac:dyDescent="0.2">
      <c r="A105" s="50" t="str">
        <f ca="1">IF(ISERROR(MATCH(E105,Код_КВР,0)),"",INDIRECT(ADDRESS(MATCH(E105,Код_КВР,0)+1,2,,,"КВР")))</f>
        <v>Субсидии бюджетным учреждениям</v>
      </c>
      <c r="B105" s="79" t="s">
        <v>675</v>
      </c>
      <c r="C105" s="65" t="s">
        <v>60</v>
      </c>
      <c r="D105" s="46" t="s">
        <v>70</v>
      </c>
      <c r="E105" s="26">
        <v>610</v>
      </c>
      <c r="F105" s="62"/>
      <c r="G105" s="62"/>
      <c r="H105" s="49"/>
      <c r="I105" s="62">
        <f>'прил. 8'!J660</f>
        <v>308</v>
      </c>
      <c r="J105" s="49">
        <f t="shared" si="15"/>
        <v>308</v>
      </c>
      <c r="K105" s="62">
        <f>'прил. 8'!L660</f>
        <v>-216</v>
      </c>
      <c r="L105" s="49">
        <f t="shared" si="16"/>
        <v>92</v>
      </c>
      <c r="M105" s="62">
        <f>'прил. 8'!N660</f>
        <v>0</v>
      </c>
      <c r="N105" s="49">
        <f t="shared" si="12"/>
        <v>92</v>
      </c>
    </row>
    <row r="106" spans="1:14" ht="19.5" customHeight="1" x14ac:dyDescent="0.2">
      <c r="A106" s="50" t="str">
        <f ca="1">IF(ISERROR(MATCH(E106,Код_КВР,0)),"",INDIRECT(ADDRESS(MATCH(E106,Код_КВР,0)+1,2,,,"КВР")))</f>
        <v>Субсидии автономным учреждениям</v>
      </c>
      <c r="B106" s="79" t="s">
        <v>675</v>
      </c>
      <c r="C106" s="65" t="s">
        <v>60</v>
      </c>
      <c r="D106" s="46" t="s">
        <v>70</v>
      </c>
      <c r="E106" s="26">
        <v>620</v>
      </c>
      <c r="F106" s="62"/>
      <c r="G106" s="62"/>
      <c r="H106" s="49"/>
      <c r="I106" s="62">
        <f>'прил. 8'!J661</f>
        <v>308</v>
      </c>
      <c r="J106" s="49">
        <f t="shared" si="15"/>
        <v>308</v>
      </c>
      <c r="K106" s="62">
        <f>'прил. 8'!L661</f>
        <v>-216</v>
      </c>
      <c r="L106" s="49">
        <f t="shared" si="16"/>
        <v>92</v>
      </c>
      <c r="M106" s="62">
        <f>'прил. 8'!N661</f>
        <v>0</v>
      </c>
      <c r="N106" s="49">
        <f t="shared" si="12"/>
        <v>92</v>
      </c>
    </row>
    <row r="107" spans="1:14" x14ac:dyDescent="0.2">
      <c r="A107" s="50" t="str">
        <f ca="1">IF(ISERROR(MATCH(B107,Код_КЦСР,0)),"",INDIRECT(ADDRESS(MATCH(B107,Код_КЦСР,0)+1,2,,,"КЦСР")))</f>
        <v>Общее образование</v>
      </c>
      <c r="B107" s="79" t="s">
        <v>204</v>
      </c>
      <c r="C107" s="65"/>
      <c r="D107" s="46"/>
      <c r="E107" s="26"/>
      <c r="F107" s="62">
        <f>F108+F125+F131+F146</f>
        <v>1478891.1999999997</v>
      </c>
      <c r="G107" s="62">
        <f>G108+G125+G131+G146</f>
        <v>0</v>
      </c>
      <c r="H107" s="49">
        <f t="shared" si="14"/>
        <v>1478891.1999999997</v>
      </c>
      <c r="I107" s="62">
        <f>I108+I125+I131+I146</f>
        <v>-0.1</v>
      </c>
      <c r="J107" s="49">
        <f t="shared" si="15"/>
        <v>1478891.0999999996</v>
      </c>
      <c r="K107" s="62">
        <f>K108+K125+K131+K146</f>
        <v>0</v>
      </c>
      <c r="L107" s="49">
        <f t="shared" si="16"/>
        <v>1478891.0999999996</v>
      </c>
      <c r="M107" s="62">
        <f>M108+M125+M131+M146</f>
        <v>0</v>
      </c>
      <c r="N107" s="49">
        <f t="shared" si="12"/>
        <v>1478891.0999999996</v>
      </c>
    </row>
    <row r="108" spans="1:14" ht="49.5" x14ac:dyDescent="0.2">
      <c r="A108" s="50" t="str">
        <f ca="1">IF(ISERROR(MATCH(B108,Код_КЦСР,0)),"",INDIRECT(ADDRESS(MATCH(B108,Код_КЦСР,0)+1,2,,,"КЦСР")))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v>
      </c>
      <c r="B108" s="79" t="s">
        <v>205</v>
      </c>
      <c r="C108" s="65"/>
      <c r="D108" s="46"/>
      <c r="E108" s="26"/>
      <c r="F108" s="62">
        <f>F109+F119</f>
        <v>1431023.6999999997</v>
      </c>
      <c r="G108" s="62">
        <f>G109+G119</f>
        <v>0</v>
      </c>
      <c r="H108" s="49">
        <f t="shared" si="14"/>
        <v>1431023.6999999997</v>
      </c>
      <c r="I108" s="62">
        <f>I109+I119</f>
        <v>-0.1</v>
      </c>
      <c r="J108" s="49">
        <f t="shared" si="15"/>
        <v>1431023.5999999996</v>
      </c>
      <c r="K108" s="62">
        <f>K109+K119</f>
        <v>0</v>
      </c>
      <c r="L108" s="49">
        <f t="shared" si="16"/>
        <v>1431023.5999999996</v>
      </c>
      <c r="M108" s="62">
        <f>M109+M119</f>
        <v>0</v>
      </c>
      <c r="N108" s="49">
        <f t="shared" si="12"/>
        <v>1431023.5999999996</v>
      </c>
    </row>
    <row r="109" spans="1:14" ht="66" x14ac:dyDescent="0.2">
      <c r="A109" s="50" t="str">
        <f ca="1">IF(ISERROR(MATCH(B109,Код_КЦСР,0)),"",INDIRECT(ADDRESS(MATCH(B109,Код_КЦСР,0)+1,2,,,"КЦСР")))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учреждениях, за счет средств городского бюджета</v>
      </c>
      <c r="B109" s="79" t="s">
        <v>206</v>
      </c>
      <c r="C109" s="65"/>
      <c r="D109" s="46"/>
      <c r="E109" s="26"/>
      <c r="F109" s="62">
        <f>F110+F115</f>
        <v>268668.40000000002</v>
      </c>
      <c r="G109" s="62">
        <f>G110+G115</f>
        <v>0</v>
      </c>
      <c r="H109" s="49">
        <f t="shared" si="14"/>
        <v>268668.40000000002</v>
      </c>
      <c r="I109" s="62">
        <f>I110+I115</f>
        <v>-0.1</v>
      </c>
      <c r="J109" s="49">
        <f t="shared" si="15"/>
        <v>268668.30000000005</v>
      </c>
      <c r="K109" s="62">
        <f>K110</f>
        <v>0</v>
      </c>
      <c r="L109" s="49">
        <f t="shared" si="16"/>
        <v>268668.30000000005</v>
      </c>
      <c r="M109" s="62">
        <f>M110</f>
        <v>0</v>
      </c>
      <c r="N109" s="49">
        <f t="shared" si="12"/>
        <v>268668.30000000005</v>
      </c>
    </row>
    <row r="110" spans="1:14" x14ac:dyDescent="0.2">
      <c r="A110" s="50" t="str">
        <f ca="1">IF(ISERROR(MATCH(C110,Код_Раздел,0)),"",INDIRECT(ADDRESS(MATCH(C110,Код_Раздел,0)+1,2,,,"Раздел")))</f>
        <v>Образование</v>
      </c>
      <c r="B110" s="79" t="s">
        <v>206</v>
      </c>
      <c r="C110" s="65" t="s">
        <v>60</v>
      </c>
      <c r="D110" s="46"/>
      <c r="E110" s="26"/>
      <c r="F110" s="62">
        <f t="shared" ref="F110:M111" si="17">F111</f>
        <v>268668.40000000002</v>
      </c>
      <c r="G110" s="62">
        <f t="shared" si="17"/>
        <v>0</v>
      </c>
      <c r="H110" s="49">
        <f t="shared" si="14"/>
        <v>268668.40000000002</v>
      </c>
      <c r="I110" s="62">
        <f t="shared" si="17"/>
        <v>-0.1</v>
      </c>
      <c r="J110" s="49">
        <f t="shared" si="15"/>
        <v>268668.30000000005</v>
      </c>
      <c r="K110" s="62">
        <f>K111+K115</f>
        <v>0</v>
      </c>
      <c r="L110" s="49">
        <f t="shared" si="16"/>
        <v>268668.30000000005</v>
      </c>
      <c r="M110" s="62">
        <f>M111+M115</f>
        <v>0</v>
      </c>
      <c r="N110" s="49">
        <f t="shared" si="12"/>
        <v>268668.30000000005</v>
      </c>
    </row>
    <row r="111" spans="1:14" x14ac:dyDescent="0.2">
      <c r="A111" s="45" t="s">
        <v>102</v>
      </c>
      <c r="B111" s="79" t="s">
        <v>206</v>
      </c>
      <c r="C111" s="65" t="s">
        <v>60</v>
      </c>
      <c r="D111" s="46" t="s">
        <v>71</v>
      </c>
      <c r="E111" s="26"/>
      <c r="F111" s="62">
        <f t="shared" si="17"/>
        <v>268668.40000000002</v>
      </c>
      <c r="G111" s="62">
        <f t="shared" si="17"/>
        <v>0</v>
      </c>
      <c r="H111" s="49">
        <f t="shared" si="14"/>
        <v>268668.40000000002</v>
      </c>
      <c r="I111" s="62">
        <f t="shared" si="17"/>
        <v>-0.1</v>
      </c>
      <c r="J111" s="49">
        <f t="shared" si="15"/>
        <v>268668.30000000005</v>
      </c>
      <c r="K111" s="62">
        <f t="shared" si="17"/>
        <v>-709</v>
      </c>
      <c r="L111" s="49">
        <f t="shared" si="16"/>
        <v>267959.30000000005</v>
      </c>
      <c r="M111" s="62">
        <f t="shared" si="17"/>
        <v>-354</v>
      </c>
      <c r="N111" s="49">
        <f t="shared" si="12"/>
        <v>267605.30000000005</v>
      </c>
    </row>
    <row r="112" spans="1:14" ht="33" x14ac:dyDescent="0.2">
      <c r="A112" s="50" t="str">
        <f ca="1">IF(ISERROR(MATCH(E112,Код_КВР,0)),"",INDIRECT(ADDRESS(MATCH(E112,Код_КВР,0)+1,2,,,"КВР")))</f>
        <v>Предоставление субсидий бюджетным, автономным учреждениям и иным некоммерческим организациям</v>
      </c>
      <c r="B112" s="79" t="s">
        <v>206</v>
      </c>
      <c r="C112" s="65" t="s">
        <v>60</v>
      </c>
      <c r="D112" s="46" t="s">
        <v>71</v>
      </c>
      <c r="E112" s="26">
        <v>600</v>
      </c>
      <c r="F112" s="62">
        <f>F113+F114</f>
        <v>268668.40000000002</v>
      </c>
      <c r="G112" s="62">
        <f>G113+G114</f>
        <v>0</v>
      </c>
      <c r="H112" s="49">
        <f t="shared" si="14"/>
        <v>268668.40000000002</v>
      </c>
      <c r="I112" s="62">
        <f>I113+I114</f>
        <v>-0.1</v>
      </c>
      <c r="J112" s="49">
        <f t="shared" si="15"/>
        <v>268668.30000000005</v>
      </c>
      <c r="K112" s="62">
        <f>K113+K114</f>
        <v>-709</v>
      </c>
      <c r="L112" s="49">
        <f t="shared" si="16"/>
        <v>267959.30000000005</v>
      </c>
      <c r="M112" s="62">
        <f>M113+M114</f>
        <v>-354</v>
      </c>
      <c r="N112" s="49">
        <f t="shared" si="12"/>
        <v>267605.30000000005</v>
      </c>
    </row>
    <row r="113" spans="1:14" x14ac:dyDescent="0.2">
      <c r="A113" s="50" t="str">
        <f ca="1">IF(ISERROR(MATCH(E113,Код_КВР,0)),"",INDIRECT(ADDRESS(MATCH(E113,Код_КВР,0)+1,2,,,"КВР")))</f>
        <v>Субсидии бюджетным учреждениям</v>
      </c>
      <c r="B113" s="79" t="s">
        <v>206</v>
      </c>
      <c r="C113" s="65" t="s">
        <v>60</v>
      </c>
      <c r="D113" s="46" t="s">
        <v>71</v>
      </c>
      <c r="E113" s="26">
        <v>610</v>
      </c>
      <c r="F113" s="62">
        <f>'прил. 8'!G723</f>
        <v>263478.5</v>
      </c>
      <c r="G113" s="62">
        <f>'прил. 8'!H723</f>
        <v>0</v>
      </c>
      <c r="H113" s="49">
        <f t="shared" si="14"/>
        <v>263478.5</v>
      </c>
      <c r="I113" s="62">
        <f>'прил. 8'!J723</f>
        <v>-0.1</v>
      </c>
      <c r="J113" s="49">
        <f t="shared" si="15"/>
        <v>263478.40000000002</v>
      </c>
      <c r="K113" s="62">
        <f>'прил. 8'!L723</f>
        <v>-693.3</v>
      </c>
      <c r="L113" s="49">
        <f t="shared" si="16"/>
        <v>262785.10000000003</v>
      </c>
      <c r="M113" s="62">
        <f>'прил. 8'!N723</f>
        <v>-354</v>
      </c>
      <c r="N113" s="49">
        <f t="shared" si="12"/>
        <v>262431.10000000003</v>
      </c>
    </row>
    <row r="114" spans="1:14" x14ac:dyDescent="0.2">
      <c r="A114" s="50" t="str">
        <f ca="1">IF(ISERROR(MATCH(E114,Код_КВР,0)),"",INDIRECT(ADDRESS(MATCH(E114,Код_КВР,0)+1,2,,,"КВР")))</f>
        <v>Субсидии автономным учреждениям</v>
      </c>
      <c r="B114" s="79" t="s">
        <v>206</v>
      </c>
      <c r="C114" s="65" t="s">
        <v>60</v>
      </c>
      <c r="D114" s="46" t="s">
        <v>71</v>
      </c>
      <c r="E114" s="26">
        <v>620</v>
      </c>
      <c r="F114" s="62">
        <f>'прил. 8'!G724</f>
        <v>5189.8999999999996</v>
      </c>
      <c r="G114" s="62">
        <f>'прил. 8'!H724</f>
        <v>0</v>
      </c>
      <c r="H114" s="49">
        <f t="shared" si="14"/>
        <v>5189.8999999999996</v>
      </c>
      <c r="I114" s="62">
        <f>'прил. 8'!J724</f>
        <v>0</v>
      </c>
      <c r="J114" s="49">
        <f t="shared" si="15"/>
        <v>5189.8999999999996</v>
      </c>
      <c r="K114" s="62">
        <f>'прил. 8'!L724</f>
        <v>-15.7</v>
      </c>
      <c r="L114" s="49">
        <f t="shared" si="16"/>
        <v>5174.2</v>
      </c>
      <c r="M114" s="62">
        <f>'прил. 8'!N724</f>
        <v>0</v>
      </c>
      <c r="N114" s="49">
        <f t="shared" si="12"/>
        <v>5174.2</v>
      </c>
    </row>
    <row r="115" spans="1:14" x14ac:dyDescent="0.2">
      <c r="A115" s="45" t="s">
        <v>532</v>
      </c>
      <c r="B115" s="79" t="s">
        <v>206</v>
      </c>
      <c r="C115" s="65" t="s">
        <v>60</v>
      </c>
      <c r="D115" s="46" t="s">
        <v>78</v>
      </c>
      <c r="E115" s="26"/>
      <c r="F115" s="62">
        <f>F116</f>
        <v>0</v>
      </c>
      <c r="G115" s="62">
        <f>G116</f>
        <v>0</v>
      </c>
      <c r="H115" s="49">
        <f t="shared" si="14"/>
        <v>0</v>
      </c>
      <c r="I115" s="62">
        <f>I116</f>
        <v>0</v>
      </c>
      <c r="J115" s="49">
        <f t="shared" si="15"/>
        <v>0</v>
      </c>
      <c r="K115" s="62">
        <f>K116</f>
        <v>709</v>
      </c>
      <c r="L115" s="49">
        <f t="shared" si="16"/>
        <v>709</v>
      </c>
      <c r="M115" s="62">
        <f>M116</f>
        <v>354</v>
      </c>
      <c r="N115" s="49">
        <f t="shared" si="12"/>
        <v>1063</v>
      </c>
    </row>
    <row r="116" spans="1:14" ht="33" x14ac:dyDescent="0.2">
      <c r="A116" s="50" t="str">
        <f ca="1">IF(ISERROR(MATCH(E116,Код_КВР,0)),"",INDIRECT(ADDRESS(MATCH(E116,Код_КВР,0)+1,2,,,"КВР")))</f>
        <v>Предоставление субсидий бюджетным, автономным учреждениям и иным некоммерческим организациям</v>
      </c>
      <c r="B116" s="79" t="s">
        <v>206</v>
      </c>
      <c r="C116" s="65" t="s">
        <v>60</v>
      </c>
      <c r="D116" s="46" t="s">
        <v>78</v>
      </c>
      <c r="E116" s="26">
        <v>600</v>
      </c>
      <c r="F116" s="62">
        <f>F117</f>
        <v>0</v>
      </c>
      <c r="G116" s="62">
        <f>G117</f>
        <v>0</v>
      </c>
      <c r="H116" s="49">
        <f t="shared" si="14"/>
        <v>0</v>
      </c>
      <c r="I116" s="62">
        <f>I117</f>
        <v>0</v>
      </c>
      <c r="J116" s="49">
        <f t="shared" si="15"/>
        <v>0</v>
      </c>
      <c r="K116" s="62">
        <f>K117+K118</f>
        <v>709</v>
      </c>
      <c r="L116" s="49">
        <f t="shared" si="16"/>
        <v>709</v>
      </c>
      <c r="M116" s="62">
        <f>M117+M118</f>
        <v>354</v>
      </c>
      <c r="N116" s="49">
        <f t="shared" si="12"/>
        <v>1063</v>
      </c>
    </row>
    <row r="117" spans="1:14" x14ac:dyDescent="0.2">
      <c r="A117" s="50" t="str">
        <f ca="1">IF(ISERROR(MATCH(E117,Код_КВР,0)),"",INDIRECT(ADDRESS(MATCH(E117,Код_КВР,0)+1,2,,,"КВР")))</f>
        <v>Субсидии бюджетным учреждениям</v>
      </c>
      <c r="B117" s="79" t="s">
        <v>206</v>
      </c>
      <c r="C117" s="65" t="s">
        <v>60</v>
      </c>
      <c r="D117" s="46" t="s">
        <v>78</v>
      </c>
      <c r="E117" s="26">
        <v>610</v>
      </c>
      <c r="F117" s="62">
        <f>'прил. 8'!G836</f>
        <v>0</v>
      </c>
      <c r="G117" s="62">
        <f>'прил. 8'!H836</f>
        <v>0</v>
      </c>
      <c r="H117" s="49">
        <f t="shared" si="14"/>
        <v>0</v>
      </c>
      <c r="I117" s="62">
        <f>'прил. 8'!J836</f>
        <v>0</v>
      </c>
      <c r="J117" s="49">
        <f t="shared" si="15"/>
        <v>0</v>
      </c>
      <c r="K117" s="62">
        <f>'прил. 8'!L836</f>
        <v>693.3</v>
      </c>
      <c r="L117" s="49">
        <f t="shared" si="16"/>
        <v>693.3</v>
      </c>
      <c r="M117" s="62">
        <f>'прил. 8'!N836</f>
        <v>354</v>
      </c>
      <c r="N117" s="49">
        <f t="shared" si="12"/>
        <v>1047.3</v>
      </c>
    </row>
    <row r="118" spans="1:14" x14ac:dyDescent="0.2">
      <c r="A118" s="50" t="str">
        <f ca="1">IF(ISERROR(MATCH(E118,Код_КВР,0)),"",INDIRECT(ADDRESS(MATCH(E118,Код_КВР,0)+1,2,,,"КВР")))</f>
        <v>Субсидии автономным учреждениям</v>
      </c>
      <c r="B118" s="79" t="s">
        <v>206</v>
      </c>
      <c r="C118" s="65" t="s">
        <v>60</v>
      </c>
      <c r="D118" s="46" t="s">
        <v>78</v>
      </c>
      <c r="E118" s="26">
        <v>620</v>
      </c>
      <c r="F118" s="62"/>
      <c r="G118" s="62"/>
      <c r="H118" s="49"/>
      <c r="I118" s="62"/>
      <c r="J118" s="49"/>
      <c r="K118" s="62">
        <f>'прил. 8'!L837</f>
        <v>15.7</v>
      </c>
      <c r="L118" s="49">
        <f t="shared" si="16"/>
        <v>15.7</v>
      </c>
      <c r="M118" s="62">
        <f>'прил. 8'!N837</f>
        <v>0</v>
      </c>
      <c r="N118" s="49">
        <f t="shared" si="12"/>
        <v>15.7</v>
      </c>
    </row>
    <row r="119" spans="1:14" ht="66" x14ac:dyDescent="0.2">
      <c r="A119" s="50" t="str">
        <f ca="1">IF(ISERROR(MATCH(B119,Код_КЦСР,0)),"",INDIRECT(ADDRESS(MATCH(B119,Код_КЦСР,0)+1,2,,,"КЦСР")))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учреждениях, за счет средств областного бюджета</v>
      </c>
      <c r="B119" s="79" t="s">
        <v>207</v>
      </c>
      <c r="C119" s="65"/>
      <c r="D119" s="46"/>
      <c r="E119" s="26"/>
      <c r="F119" s="62">
        <f t="shared" ref="F119:M121" si="18">F120</f>
        <v>1162355.2999999998</v>
      </c>
      <c r="G119" s="62">
        <f t="shared" si="18"/>
        <v>0</v>
      </c>
      <c r="H119" s="49">
        <f t="shared" si="14"/>
        <v>1162355.2999999998</v>
      </c>
      <c r="I119" s="62">
        <f t="shared" si="18"/>
        <v>0</v>
      </c>
      <c r="J119" s="49">
        <f t="shared" si="15"/>
        <v>1162355.2999999998</v>
      </c>
      <c r="K119" s="62">
        <f t="shared" si="18"/>
        <v>0</v>
      </c>
      <c r="L119" s="49">
        <f t="shared" si="16"/>
        <v>1162355.2999999998</v>
      </c>
      <c r="M119" s="62">
        <f t="shared" si="18"/>
        <v>0</v>
      </c>
      <c r="N119" s="49">
        <f t="shared" si="12"/>
        <v>1162355.2999999998</v>
      </c>
    </row>
    <row r="120" spans="1:14" x14ac:dyDescent="0.2">
      <c r="A120" s="50" t="str">
        <f ca="1">IF(ISERROR(MATCH(C120,Код_Раздел,0)),"",INDIRECT(ADDRESS(MATCH(C120,Код_Раздел,0)+1,2,,,"Раздел")))</f>
        <v>Образование</v>
      </c>
      <c r="B120" s="79" t="s">
        <v>207</v>
      </c>
      <c r="C120" s="65" t="s">
        <v>60</v>
      </c>
      <c r="D120" s="46"/>
      <c r="E120" s="26"/>
      <c r="F120" s="62">
        <f t="shared" si="18"/>
        <v>1162355.2999999998</v>
      </c>
      <c r="G120" s="62">
        <f t="shared" si="18"/>
        <v>0</v>
      </c>
      <c r="H120" s="49">
        <f t="shared" si="14"/>
        <v>1162355.2999999998</v>
      </c>
      <c r="I120" s="62">
        <f t="shared" si="18"/>
        <v>0</v>
      </c>
      <c r="J120" s="49">
        <f t="shared" si="15"/>
        <v>1162355.2999999998</v>
      </c>
      <c r="K120" s="62">
        <f t="shared" si="18"/>
        <v>0</v>
      </c>
      <c r="L120" s="49">
        <f t="shared" si="16"/>
        <v>1162355.2999999998</v>
      </c>
      <c r="M120" s="62">
        <f t="shared" si="18"/>
        <v>0</v>
      </c>
      <c r="N120" s="49">
        <f t="shared" si="12"/>
        <v>1162355.2999999998</v>
      </c>
    </row>
    <row r="121" spans="1:14" x14ac:dyDescent="0.2">
      <c r="A121" s="50" t="s">
        <v>102</v>
      </c>
      <c r="B121" s="79" t="s">
        <v>207</v>
      </c>
      <c r="C121" s="65" t="s">
        <v>60</v>
      </c>
      <c r="D121" s="46" t="s">
        <v>71</v>
      </c>
      <c r="E121" s="26"/>
      <c r="F121" s="62">
        <f t="shared" si="18"/>
        <v>1162355.2999999998</v>
      </c>
      <c r="G121" s="62">
        <f t="shared" si="18"/>
        <v>0</v>
      </c>
      <c r="H121" s="49">
        <f t="shared" si="14"/>
        <v>1162355.2999999998</v>
      </c>
      <c r="I121" s="62">
        <f t="shared" si="18"/>
        <v>0</v>
      </c>
      <c r="J121" s="49">
        <f t="shared" si="15"/>
        <v>1162355.2999999998</v>
      </c>
      <c r="K121" s="62">
        <f t="shared" si="18"/>
        <v>0</v>
      </c>
      <c r="L121" s="49">
        <f t="shared" si="16"/>
        <v>1162355.2999999998</v>
      </c>
      <c r="M121" s="62">
        <f t="shared" si="18"/>
        <v>0</v>
      </c>
      <c r="N121" s="49">
        <f t="shared" si="12"/>
        <v>1162355.2999999998</v>
      </c>
    </row>
    <row r="122" spans="1:14" ht="33" x14ac:dyDescent="0.2">
      <c r="A122" s="50" t="str">
        <f ca="1">IF(ISERROR(MATCH(E122,Код_КВР,0)),"",INDIRECT(ADDRESS(MATCH(E122,Код_КВР,0)+1,2,,,"КВР")))</f>
        <v>Предоставление субсидий бюджетным, автономным учреждениям и иным некоммерческим организациям</v>
      </c>
      <c r="B122" s="79" t="s">
        <v>207</v>
      </c>
      <c r="C122" s="65" t="s">
        <v>60</v>
      </c>
      <c r="D122" s="46" t="s">
        <v>71</v>
      </c>
      <c r="E122" s="26">
        <v>600</v>
      </c>
      <c r="F122" s="62">
        <f>F123+F124</f>
        <v>1162355.2999999998</v>
      </c>
      <c r="G122" s="62">
        <f>G123+G124</f>
        <v>0</v>
      </c>
      <c r="H122" s="49">
        <f t="shared" si="14"/>
        <v>1162355.2999999998</v>
      </c>
      <c r="I122" s="62">
        <f>I123+I124</f>
        <v>0</v>
      </c>
      <c r="J122" s="49">
        <f t="shared" si="15"/>
        <v>1162355.2999999998</v>
      </c>
      <c r="K122" s="62">
        <f>K123+K124</f>
        <v>0</v>
      </c>
      <c r="L122" s="49">
        <f t="shared" si="16"/>
        <v>1162355.2999999998</v>
      </c>
      <c r="M122" s="62">
        <f>M123+M124</f>
        <v>0</v>
      </c>
      <c r="N122" s="49">
        <f t="shared" si="12"/>
        <v>1162355.2999999998</v>
      </c>
    </row>
    <row r="123" spans="1:14" x14ac:dyDescent="0.2">
      <c r="A123" s="50" t="str">
        <f ca="1">IF(ISERROR(MATCH(E123,Код_КВР,0)),"",INDIRECT(ADDRESS(MATCH(E123,Код_КВР,0)+1,2,,,"КВР")))</f>
        <v>Субсидии бюджетным учреждениям</v>
      </c>
      <c r="B123" s="79" t="s">
        <v>207</v>
      </c>
      <c r="C123" s="65" t="s">
        <v>60</v>
      </c>
      <c r="D123" s="46" t="s">
        <v>71</v>
      </c>
      <c r="E123" s="26">
        <v>610</v>
      </c>
      <c r="F123" s="62">
        <f>'прил. 8'!G727</f>
        <v>1139834.2999999998</v>
      </c>
      <c r="G123" s="62">
        <f>'прил. 8'!H727</f>
        <v>0</v>
      </c>
      <c r="H123" s="49">
        <f t="shared" si="14"/>
        <v>1139834.2999999998</v>
      </c>
      <c r="I123" s="62">
        <f>'прил. 8'!J727</f>
        <v>0</v>
      </c>
      <c r="J123" s="49">
        <f t="shared" si="15"/>
        <v>1139834.2999999998</v>
      </c>
      <c r="K123" s="62">
        <f>'прил. 8'!L727</f>
        <v>2049.8000000000002</v>
      </c>
      <c r="L123" s="49">
        <f t="shared" si="16"/>
        <v>1141884.0999999999</v>
      </c>
      <c r="M123" s="62">
        <f>'прил. 8'!N727</f>
        <v>0</v>
      </c>
      <c r="N123" s="49">
        <f t="shared" si="12"/>
        <v>1141884.0999999999</v>
      </c>
    </row>
    <row r="124" spans="1:14" x14ac:dyDescent="0.2">
      <c r="A124" s="50" t="str">
        <f ca="1">IF(ISERROR(MATCH(E124,Код_КВР,0)),"",INDIRECT(ADDRESS(MATCH(E124,Код_КВР,0)+1,2,,,"КВР")))</f>
        <v>Субсидии автономным учреждениям</v>
      </c>
      <c r="B124" s="79" t="s">
        <v>207</v>
      </c>
      <c r="C124" s="65" t="s">
        <v>60</v>
      </c>
      <c r="D124" s="46" t="s">
        <v>71</v>
      </c>
      <c r="E124" s="26">
        <v>620</v>
      </c>
      <c r="F124" s="62">
        <f>'прил. 8'!G728</f>
        <v>22521</v>
      </c>
      <c r="G124" s="62">
        <f>'прил. 8'!H728</f>
        <v>0</v>
      </c>
      <c r="H124" s="49">
        <f t="shared" si="14"/>
        <v>22521</v>
      </c>
      <c r="I124" s="62">
        <f>'прил. 8'!J728</f>
        <v>0</v>
      </c>
      <c r="J124" s="49">
        <f t="shared" si="15"/>
        <v>22521</v>
      </c>
      <c r="K124" s="62">
        <f>'прил. 8'!L728</f>
        <v>-2049.8000000000002</v>
      </c>
      <c r="L124" s="49">
        <f t="shared" si="16"/>
        <v>20471.2</v>
      </c>
      <c r="M124" s="62">
        <f>'прил. 8'!N728</f>
        <v>0</v>
      </c>
      <c r="N124" s="49">
        <f t="shared" si="12"/>
        <v>20471.2</v>
      </c>
    </row>
    <row r="125" spans="1:14" ht="33" x14ac:dyDescent="0.2">
      <c r="A125" s="50" t="str">
        <f ca="1">IF(ISERROR(MATCH(B125,Код_КЦСР,0)),"",INDIRECT(ADDRESS(MATCH(B125,Код_КЦСР,0)+1,2,,,"КЦСР")))</f>
        <v>Формирование комплексной системы выявления, развития и поддержки одаренных детей и молодых талантов</v>
      </c>
      <c r="B125" s="79" t="s">
        <v>208</v>
      </c>
      <c r="C125" s="65"/>
      <c r="D125" s="46"/>
      <c r="E125" s="26"/>
      <c r="F125" s="62">
        <f t="shared" ref="F125:M126" si="19">F126</f>
        <v>458</v>
      </c>
      <c r="G125" s="62">
        <f t="shared" si="19"/>
        <v>0</v>
      </c>
      <c r="H125" s="49">
        <f t="shared" si="14"/>
        <v>458</v>
      </c>
      <c r="I125" s="62">
        <f t="shared" si="19"/>
        <v>0</v>
      </c>
      <c r="J125" s="49">
        <f t="shared" si="15"/>
        <v>458</v>
      </c>
      <c r="K125" s="62">
        <f t="shared" si="19"/>
        <v>0</v>
      </c>
      <c r="L125" s="49">
        <f t="shared" si="16"/>
        <v>458</v>
      </c>
      <c r="M125" s="62">
        <f t="shared" si="19"/>
        <v>0</v>
      </c>
      <c r="N125" s="49">
        <f t="shared" si="12"/>
        <v>458</v>
      </c>
    </row>
    <row r="126" spans="1:14" x14ac:dyDescent="0.2">
      <c r="A126" s="50" t="str">
        <f ca="1">IF(ISERROR(MATCH(C126,Код_Раздел,0)),"",INDIRECT(ADDRESS(MATCH(C126,Код_Раздел,0)+1,2,,,"Раздел")))</f>
        <v>Образование</v>
      </c>
      <c r="B126" s="79" t="s">
        <v>208</v>
      </c>
      <c r="C126" s="65" t="s">
        <v>60</v>
      </c>
      <c r="D126" s="46"/>
      <c r="E126" s="26"/>
      <c r="F126" s="62">
        <f t="shared" si="19"/>
        <v>458</v>
      </c>
      <c r="G126" s="62">
        <f t="shared" si="19"/>
        <v>0</v>
      </c>
      <c r="H126" s="49">
        <f t="shared" si="14"/>
        <v>458</v>
      </c>
      <c r="I126" s="62">
        <f t="shared" si="19"/>
        <v>0</v>
      </c>
      <c r="J126" s="49">
        <f t="shared" si="15"/>
        <v>458</v>
      </c>
      <c r="K126" s="62">
        <f t="shared" si="19"/>
        <v>0</v>
      </c>
      <c r="L126" s="49">
        <f t="shared" si="16"/>
        <v>458</v>
      </c>
      <c r="M126" s="62">
        <f t="shared" si="19"/>
        <v>0</v>
      </c>
      <c r="N126" s="49">
        <f t="shared" si="12"/>
        <v>458</v>
      </c>
    </row>
    <row r="127" spans="1:14" x14ac:dyDescent="0.2">
      <c r="A127" s="45" t="s">
        <v>102</v>
      </c>
      <c r="B127" s="79" t="s">
        <v>208</v>
      </c>
      <c r="C127" s="65" t="s">
        <v>60</v>
      </c>
      <c r="D127" s="46" t="s">
        <v>71</v>
      </c>
      <c r="E127" s="26"/>
      <c r="F127" s="62">
        <f t="shared" ref="F127:M127" si="20">F128</f>
        <v>458</v>
      </c>
      <c r="G127" s="62">
        <f t="shared" si="20"/>
        <v>0</v>
      </c>
      <c r="H127" s="49">
        <f t="shared" si="14"/>
        <v>458</v>
      </c>
      <c r="I127" s="62">
        <f t="shared" si="20"/>
        <v>0</v>
      </c>
      <c r="J127" s="49">
        <f t="shared" si="15"/>
        <v>458</v>
      </c>
      <c r="K127" s="62">
        <f t="shared" si="20"/>
        <v>0</v>
      </c>
      <c r="L127" s="49">
        <f t="shared" si="16"/>
        <v>458</v>
      </c>
      <c r="M127" s="62">
        <f t="shared" si="20"/>
        <v>0</v>
      </c>
      <c r="N127" s="49">
        <f t="shared" si="12"/>
        <v>458</v>
      </c>
    </row>
    <row r="128" spans="1:14" x14ac:dyDescent="0.2">
      <c r="A128" s="50" t="str">
        <f ca="1">IF(ISERROR(MATCH(E128,Код_КВР,0)),"",INDIRECT(ADDRESS(MATCH(E128,Код_КВР,0)+1,2,,,"КВР")))</f>
        <v>Социальное обеспечение и иные выплаты населению</v>
      </c>
      <c r="B128" s="79" t="s">
        <v>208</v>
      </c>
      <c r="C128" s="65" t="s">
        <v>60</v>
      </c>
      <c r="D128" s="46" t="s">
        <v>71</v>
      </c>
      <c r="E128" s="26">
        <v>300</v>
      </c>
      <c r="F128" s="62">
        <f>F129+F130</f>
        <v>458</v>
      </c>
      <c r="G128" s="62">
        <f>G129+G130</f>
        <v>0</v>
      </c>
      <c r="H128" s="49">
        <f t="shared" si="14"/>
        <v>458</v>
      </c>
      <c r="I128" s="62">
        <f>I129+I130</f>
        <v>0</v>
      </c>
      <c r="J128" s="49">
        <f t="shared" si="15"/>
        <v>458</v>
      </c>
      <c r="K128" s="62">
        <f>K129+K130</f>
        <v>0</v>
      </c>
      <c r="L128" s="49">
        <f t="shared" si="16"/>
        <v>458</v>
      </c>
      <c r="M128" s="62">
        <f>M129+M130</f>
        <v>0</v>
      </c>
      <c r="N128" s="49">
        <f t="shared" si="12"/>
        <v>458</v>
      </c>
    </row>
    <row r="129" spans="1:14" x14ac:dyDescent="0.2">
      <c r="A129" s="50" t="str">
        <f ca="1">IF(ISERROR(MATCH(E129,Код_КВР,0)),"",INDIRECT(ADDRESS(MATCH(E129,Код_КВР,0)+1,2,,,"КВР")))</f>
        <v>Стипендии</v>
      </c>
      <c r="B129" s="79" t="s">
        <v>208</v>
      </c>
      <c r="C129" s="65" t="s">
        <v>60</v>
      </c>
      <c r="D129" s="46" t="s">
        <v>71</v>
      </c>
      <c r="E129" s="26">
        <v>340</v>
      </c>
      <c r="F129" s="62">
        <f>'прил. 8'!G731</f>
        <v>200</v>
      </c>
      <c r="G129" s="62">
        <f>'прил. 8'!H731</f>
        <v>0</v>
      </c>
      <c r="H129" s="49">
        <f t="shared" si="14"/>
        <v>200</v>
      </c>
      <c r="I129" s="62">
        <f>'прил. 8'!J731</f>
        <v>0</v>
      </c>
      <c r="J129" s="49">
        <f t="shared" si="15"/>
        <v>200</v>
      </c>
      <c r="K129" s="62">
        <f>'прил. 8'!L731</f>
        <v>0</v>
      </c>
      <c r="L129" s="49">
        <f t="shared" si="16"/>
        <v>200</v>
      </c>
      <c r="M129" s="62">
        <f>'прил. 8'!N731</f>
        <v>0</v>
      </c>
      <c r="N129" s="49">
        <f t="shared" si="12"/>
        <v>200</v>
      </c>
    </row>
    <row r="130" spans="1:14" x14ac:dyDescent="0.2">
      <c r="A130" s="50" t="str">
        <f ca="1">IF(ISERROR(MATCH(E130,Код_КВР,0)),"",INDIRECT(ADDRESS(MATCH(E130,Код_КВР,0)+1,2,,,"КВР")))</f>
        <v>Премии и гранты</v>
      </c>
      <c r="B130" s="79" t="s">
        <v>208</v>
      </c>
      <c r="C130" s="65" t="s">
        <v>60</v>
      </c>
      <c r="D130" s="46" t="s">
        <v>71</v>
      </c>
      <c r="E130" s="26">
        <v>350</v>
      </c>
      <c r="F130" s="62">
        <f>'прил. 8'!G732</f>
        <v>258</v>
      </c>
      <c r="G130" s="62">
        <f>'прил. 8'!H732</f>
        <v>0</v>
      </c>
      <c r="H130" s="49">
        <f t="shared" si="14"/>
        <v>258</v>
      </c>
      <c r="I130" s="62">
        <f>'прил. 8'!J732</f>
        <v>0</v>
      </c>
      <c r="J130" s="49">
        <f t="shared" si="15"/>
        <v>258</v>
      </c>
      <c r="K130" s="62">
        <f>'прил. 8'!L732</f>
        <v>0</v>
      </c>
      <c r="L130" s="49">
        <f t="shared" si="16"/>
        <v>258</v>
      </c>
      <c r="M130" s="62">
        <f>'прил. 8'!N732</f>
        <v>0</v>
      </c>
      <c r="N130" s="49">
        <f t="shared" si="12"/>
        <v>258</v>
      </c>
    </row>
    <row r="131" spans="1:14" ht="66" x14ac:dyDescent="0.2">
      <c r="A131" s="50" t="str">
        <f ca="1">IF(ISERROR(MATCH(B131,Код_КЦСР,0)),"",INDIRECT(ADDRESS(MATCH(B131,Код_КЦСР,0)+1,2,,,"КЦСР")))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131" s="79" t="s">
        <v>209</v>
      </c>
      <c r="C131" s="65"/>
      <c r="D131" s="46"/>
      <c r="E131" s="26"/>
      <c r="F131" s="62">
        <f>F132</f>
        <v>46504</v>
      </c>
      <c r="G131" s="62">
        <f>G132</f>
        <v>0</v>
      </c>
      <c r="H131" s="49">
        <f t="shared" si="14"/>
        <v>46504</v>
      </c>
      <c r="I131" s="62">
        <f>I132</f>
        <v>0</v>
      </c>
      <c r="J131" s="49">
        <f t="shared" si="15"/>
        <v>46504</v>
      </c>
      <c r="K131" s="62">
        <f>K132</f>
        <v>0</v>
      </c>
      <c r="L131" s="49">
        <f t="shared" si="16"/>
        <v>46504</v>
      </c>
      <c r="M131" s="62">
        <f>M132</f>
        <v>0</v>
      </c>
      <c r="N131" s="49">
        <f t="shared" si="12"/>
        <v>46504</v>
      </c>
    </row>
    <row r="132" spans="1:14" ht="72" customHeight="1" x14ac:dyDescent="0.2">
      <c r="A132" s="50" t="str">
        <f ca="1">IF(ISERROR(MATCH(B132,Код_КЦСР,0)),"",INDIRECT(ADDRESS(MATCH(B132,Код_КЦСР,0)+1,2,,,"КЦСР")))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образования», за счет средств областного бюджета</v>
      </c>
      <c r="B132" s="79" t="s">
        <v>210</v>
      </c>
      <c r="C132" s="65"/>
      <c r="D132" s="46"/>
      <c r="E132" s="26"/>
      <c r="F132" s="62">
        <f>F133+F142</f>
        <v>46504</v>
      </c>
      <c r="G132" s="62">
        <f>G133+G142</f>
        <v>0</v>
      </c>
      <c r="H132" s="49">
        <f t="shared" si="14"/>
        <v>46504</v>
      </c>
      <c r="I132" s="62">
        <f>I133+I142</f>
        <v>0</v>
      </c>
      <c r="J132" s="49">
        <f t="shared" si="15"/>
        <v>46504</v>
      </c>
      <c r="K132" s="62">
        <f>K133+K142</f>
        <v>0</v>
      </c>
      <c r="L132" s="49">
        <f t="shared" si="16"/>
        <v>46504</v>
      </c>
      <c r="M132" s="62">
        <f>M133+M142</f>
        <v>0</v>
      </c>
      <c r="N132" s="49">
        <f t="shared" si="12"/>
        <v>46504</v>
      </c>
    </row>
    <row r="133" spans="1:14" x14ac:dyDescent="0.2">
      <c r="A133" s="50" t="str">
        <f ca="1">IF(ISERROR(MATCH(C133,Код_Раздел,0)),"",INDIRECT(ADDRESS(MATCH(C133,Код_Раздел,0)+1,2,,,"Раздел")))</f>
        <v>Образование</v>
      </c>
      <c r="B133" s="79" t="s">
        <v>210</v>
      </c>
      <c r="C133" s="65" t="s">
        <v>60</v>
      </c>
      <c r="D133" s="46"/>
      <c r="E133" s="26"/>
      <c r="F133" s="62">
        <f>F134+F138</f>
        <v>30020</v>
      </c>
      <c r="G133" s="62">
        <f>G134+G138</f>
        <v>0</v>
      </c>
      <c r="H133" s="49">
        <f t="shared" si="14"/>
        <v>30020</v>
      </c>
      <c r="I133" s="62">
        <f>I134+I138</f>
        <v>0</v>
      </c>
      <c r="J133" s="49">
        <f t="shared" si="15"/>
        <v>30020</v>
      </c>
      <c r="K133" s="62">
        <f>K134+K138</f>
        <v>0</v>
      </c>
      <c r="L133" s="49">
        <f t="shared" si="16"/>
        <v>30020</v>
      </c>
      <c r="M133" s="62">
        <f>M134+M138</f>
        <v>0</v>
      </c>
      <c r="N133" s="49">
        <f t="shared" si="12"/>
        <v>30020</v>
      </c>
    </row>
    <row r="134" spans="1:14" x14ac:dyDescent="0.2">
      <c r="A134" s="50" t="s">
        <v>109</v>
      </c>
      <c r="B134" s="79" t="s">
        <v>210</v>
      </c>
      <c r="C134" s="65" t="s">
        <v>60</v>
      </c>
      <c r="D134" s="46" t="s">
        <v>70</v>
      </c>
      <c r="E134" s="26"/>
      <c r="F134" s="62">
        <f>F135</f>
        <v>15921.5</v>
      </c>
      <c r="G134" s="62">
        <f>G135</f>
        <v>0</v>
      </c>
      <c r="H134" s="49">
        <f t="shared" si="14"/>
        <v>15921.5</v>
      </c>
      <c r="I134" s="62">
        <f>I135</f>
        <v>0</v>
      </c>
      <c r="J134" s="49">
        <f t="shared" si="15"/>
        <v>15921.5</v>
      </c>
      <c r="K134" s="62">
        <f>K135</f>
        <v>0</v>
      </c>
      <c r="L134" s="49">
        <f t="shared" si="16"/>
        <v>15921.5</v>
      </c>
      <c r="M134" s="62">
        <f>M135</f>
        <v>0</v>
      </c>
      <c r="N134" s="49">
        <f t="shared" si="12"/>
        <v>15921.5</v>
      </c>
    </row>
    <row r="135" spans="1:14" ht="33" x14ac:dyDescent="0.2">
      <c r="A135" s="50" t="str">
        <f ca="1">IF(ISERROR(MATCH(E135,Код_КВР,0)),"",INDIRECT(ADDRESS(MATCH(E135,Код_КВР,0)+1,2,,,"КВР")))</f>
        <v>Предоставление субсидий бюджетным, автономным учреждениям и иным некоммерческим организациям</v>
      </c>
      <c r="B135" s="79" t="s">
        <v>210</v>
      </c>
      <c r="C135" s="65" t="s">
        <v>60</v>
      </c>
      <c r="D135" s="46" t="s">
        <v>70</v>
      </c>
      <c r="E135" s="26">
        <v>600</v>
      </c>
      <c r="F135" s="62">
        <f>F136+F137</f>
        <v>15921.5</v>
      </c>
      <c r="G135" s="62">
        <f>G136+G137</f>
        <v>0</v>
      </c>
      <c r="H135" s="49">
        <f t="shared" si="14"/>
        <v>15921.5</v>
      </c>
      <c r="I135" s="62">
        <f>I136+I137</f>
        <v>0</v>
      </c>
      <c r="J135" s="49">
        <f t="shared" si="15"/>
        <v>15921.5</v>
      </c>
      <c r="K135" s="62">
        <f>K136+K137</f>
        <v>0</v>
      </c>
      <c r="L135" s="49">
        <f t="shared" si="16"/>
        <v>15921.5</v>
      </c>
      <c r="M135" s="62">
        <f>M136+M137</f>
        <v>0</v>
      </c>
      <c r="N135" s="49">
        <f t="shared" si="12"/>
        <v>15921.5</v>
      </c>
    </row>
    <row r="136" spans="1:14" x14ac:dyDescent="0.2">
      <c r="A136" s="50" t="str">
        <f ca="1">IF(ISERROR(MATCH(E136,Код_КВР,0)),"",INDIRECT(ADDRESS(MATCH(E136,Код_КВР,0)+1,2,,,"КВР")))</f>
        <v>Субсидии бюджетным учреждениям</v>
      </c>
      <c r="B136" s="79" t="s">
        <v>210</v>
      </c>
      <c r="C136" s="65" t="s">
        <v>60</v>
      </c>
      <c r="D136" s="46" t="s">
        <v>70</v>
      </c>
      <c r="E136" s="26">
        <v>610</v>
      </c>
      <c r="F136" s="62">
        <f>'прил. 8'!G666</f>
        <v>14329.3</v>
      </c>
      <c r="G136" s="62">
        <f>'прил. 8'!H666</f>
        <v>0</v>
      </c>
      <c r="H136" s="49">
        <f t="shared" si="14"/>
        <v>14329.3</v>
      </c>
      <c r="I136" s="62">
        <f>'прил. 8'!J666</f>
        <v>0</v>
      </c>
      <c r="J136" s="49">
        <f t="shared" si="15"/>
        <v>14329.3</v>
      </c>
      <c r="K136" s="62">
        <f>'прил. 8'!L666</f>
        <v>0</v>
      </c>
      <c r="L136" s="49">
        <f t="shared" si="16"/>
        <v>14329.3</v>
      </c>
      <c r="M136" s="62">
        <f>'прил. 8'!N666</f>
        <v>0</v>
      </c>
      <c r="N136" s="49">
        <f t="shared" si="12"/>
        <v>14329.3</v>
      </c>
    </row>
    <row r="137" spans="1:14" x14ac:dyDescent="0.2">
      <c r="A137" s="50" t="str">
        <f ca="1">IF(ISERROR(MATCH(E137,Код_КВР,0)),"",INDIRECT(ADDRESS(MATCH(E137,Код_КВР,0)+1,2,,,"КВР")))</f>
        <v>Субсидии автономным учреждениям</v>
      </c>
      <c r="B137" s="79" t="s">
        <v>210</v>
      </c>
      <c r="C137" s="65" t="s">
        <v>60</v>
      </c>
      <c r="D137" s="46" t="s">
        <v>70</v>
      </c>
      <c r="E137" s="26">
        <v>620</v>
      </c>
      <c r="F137" s="62">
        <f>'прил. 8'!G667</f>
        <v>1592.2</v>
      </c>
      <c r="G137" s="62">
        <f>'прил. 8'!H667</f>
        <v>0</v>
      </c>
      <c r="H137" s="49">
        <f t="shared" si="14"/>
        <v>1592.2</v>
      </c>
      <c r="I137" s="62">
        <f>'прил. 8'!J667</f>
        <v>0</v>
      </c>
      <c r="J137" s="49">
        <f t="shared" si="15"/>
        <v>1592.2</v>
      </c>
      <c r="K137" s="62">
        <f>'прил. 8'!L667</f>
        <v>0</v>
      </c>
      <c r="L137" s="49">
        <f t="shared" si="16"/>
        <v>1592.2</v>
      </c>
      <c r="M137" s="62">
        <f>'прил. 8'!N667</f>
        <v>0</v>
      </c>
      <c r="N137" s="49">
        <f t="shared" si="12"/>
        <v>1592.2</v>
      </c>
    </row>
    <row r="138" spans="1:14" x14ac:dyDescent="0.2">
      <c r="A138" s="50" t="s">
        <v>102</v>
      </c>
      <c r="B138" s="79" t="s">
        <v>210</v>
      </c>
      <c r="C138" s="65" t="s">
        <v>60</v>
      </c>
      <c r="D138" s="46" t="s">
        <v>71</v>
      </c>
      <c r="E138" s="26"/>
      <c r="F138" s="62">
        <f t="shared" ref="F138:M138" si="21">F139</f>
        <v>14098.5</v>
      </c>
      <c r="G138" s="62">
        <f t="shared" si="21"/>
        <v>0</v>
      </c>
      <c r="H138" s="49">
        <f t="shared" si="14"/>
        <v>14098.5</v>
      </c>
      <c r="I138" s="62">
        <f t="shared" si="21"/>
        <v>0</v>
      </c>
      <c r="J138" s="49">
        <f t="shared" si="15"/>
        <v>14098.5</v>
      </c>
      <c r="K138" s="62">
        <f t="shared" si="21"/>
        <v>0</v>
      </c>
      <c r="L138" s="49">
        <f t="shared" si="16"/>
        <v>14098.5</v>
      </c>
      <c r="M138" s="62">
        <f t="shared" si="21"/>
        <v>0</v>
      </c>
      <c r="N138" s="49">
        <f t="shared" si="12"/>
        <v>14098.5</v>
      </c>
    </row>
    <row r="139" spans="1:14" ht="33" x14ac:dyDescent="0.2">
      <c r="A139" s="50" t="str">
        <f ca="1">IF(ISERROR(MATCH(E139,Код_КВР,0)),"",INDIRECT(ADDRESS(MATCH(E139,Код_КВР,0)+1,2,,,"КВР")))</f>
        <v>Предоставление субсидий бюджетным, автономным учреждениям и иным некоммерческим организациям</v>
      </c>
      <c r="B139" s="79" t="s">
        <v>210</v>
      </c>
      <c r="C139" s="65" t="s">
        <v>60</v>
      </c>
      <c r="D139" s="46" t="s">
        <v>71</v>
      </c>
      <c r="E139" s="26">
        <v>600</v>
      </c>
      <c r="F139" s="62">
        <f>F140+F141</f>
        <v>14098.5</v>
      </c>
      <c r="G139" s="62">
        <f>G140+G141</f>
        <v>0</v>
      </c>
      <c r="H139" s="49">
        <f t="shared" si="14"/>
        <v>14098.5</v>
      </c>
      <c r="I139" s="62">
        <f>I140+I141</f>
        <v>0</v>
      </c>
      <c r="J139" s="49">
        <f t="shared" si="15"/>
        <v>14098.5</v>
      </c>
      <c r="K139" s="62">
        <f>K140+K141</f>
        <v>0</v>
      </c>
      <c r="L139" s="49">
        <f t="shared" si="16"/>
        <v>14098.5</v>
      </c>
      <c r="M139" s="62">
        <f>M140+M141</f>
        <v>0</v>
      </c>
      <c r="N139" s="49">
        <f t="shared" si="12"/>
        <v>14098.5</v>
      </c>
    </row>
    <row r="140" spans="1:14" x14ac:dyDescent="0.2">
      <c r="A140" s="50" t="str">
        <f ca="1">IF(ISERROR(MATCH(E140,Код_КВР,0)),"",INDIRECT(ADDRESS(MATCH(E140,Код_КВР,0)+1,2,,,"КВР")))</f>
        <v>Субсидии бюджетным учреждениям</v>
      </c>
      <c r="B140" s="79" t="s">
        <v>210</v>
      </c>
      <c r="C140" s="65" t="s">
        <v>60</v>
      </c>
      <c r="D140" s="46" t="s">
        <v>71</v>
      </c>
      <c r="E140" s="26">
        <v>610</v>
      </c>
      <c r="F140" s="62">
        <f>'прил. 8'!G736</f>
        <v>14090.6</v>
      </c>
      <c r="G140" s="62">
        <f>'прил. 8'!H736</f>
        <v>0</v>
      </c>
      <c r="H140" s="49">
        <f t="shared" si="14"/>
        <v>14090.6</v>
      </c>
      <c r="I140" s="62">
        <f>'прил. 8'!J736</f>
        <v>0</v>
      </c>
      <c r="J140" s="49">
        <f t="shared" si="15"/>
        <v>14090.6</v>
      </c>
      <c r="K140" s="62">
        <f>'прил. 8'!L736</f>
        <v>0</v>
      </c>
      <c r="L140" s="49">
        <f t="shared" si="16"/>
        <v>14090.6</v>
      </c>
      <c r="M140" s="62">
        <f>'прил. 8'!N736</f>
        <v>0</v>
      </c>
      <c r="N140" s="49">
        <f t="shared" si="12"/>
        <v>14090.6</v>
      </c>
    </row>
    <row r="141" spans="1:14" x14ac:dyDescent="0.2">
      <c r="A141" s="50" t="str">
        <f ca="1">IF(ISERROR(MATCH(E141,Код_КВР,0)),"",INDIRECT(ADDRESS(MATCH(E141,Код_КВР,0)+1,2,,,"КВР")))</f>
        <v>Субсидии автономным учреждениям</v>
      </c>
      <c r="B141" s="79" t="s">
        <v>210</v>
      </c>
      <c r="C141" s="65" t="s">
        <v>60</v>
      </c>
      <c r="D141" s="46" t="s">
        <v>71</v>
      </c>
      <c r="E141" s="26">
        <v>620</v>
      </c>
      <c r="F141" s="62">
        <f>'прил. 8'!G737</f>
        <v>7.9</v>
      </c>
      <c r="G141" s="62">
        <f>'прил. 8'!H737</f>
        <v>0</v>
      </c>
      <c r="H141" s="49">
        <f t="shared" si="14"/>
        <v>7.9</v>
      </c>
      <c r="I141" s="62">
        <f>'прил. 8'!J737</f>
        <v>0</v>
      </c>
      <c r="J141" s="49">
        <f t="shared" si="15"/>
        <v>7.9</v>
      </c>
      <c r="K141" s="62">
        <f>'прил. 8'!L737</f>
        <v>0</v>
      </c>
      <c r="L141" s="49">
        <f t="shared" si="16"/>
        <v>7.9</v>
      </c>
      <c r="M141" s="62">
        <f>'прил. 8'!N737</f>
        <v>0</v>
      </c>
      <c r="N141" s="49">
        <f t="shared" si="12"/>
        <v>7.9</v>
      </c>
    </row>
    <row r="142" spans="1:14" x14ac:dyDescent="0.2">
      <c r="A142" s="50" t="str">
        <f ca="1">IF(ISERROR(MATCH(C142,Код_Раздел,0)),"",INDIRECT(ADDRESS(MATCH(C142,Код_Раздел,0)+1,2,,,"Раздел")))</f>
        <v>Социальная политика</v>
      </c>
      <c r="B142" s="79" t="s">
        <v>210</v>
      </c>
      <c r="C142" s="65" t="s">
        <v>53</v>
      </c>
      <c r="D142" s="46"/>
      <c r="E142" s="26"/>
      <c r="F142" s="62">
        <f t="shared" ref="F142:M144" si="22">F143</f>
        <v>16484</v>
      </c>
      <c r="G142" s="62">
        <f t="shared" si="22"/>
        <v>0</v>
      </c>
      <c r="H142" s="49">
        <f t="shared" si="14"/>
        <v>16484</v>
      </c>
      <c r="I142" s="62">
        <f t="shared" si="22"/>
        <v>0</v>
      </c>
      <c r="J142" s="49">
        <f t="shared" si="15"/>
        <v>16484</v>
      </c>
      <c r="K142" s="62">
        <f t="shared" si="22"/>
        <v>0</v>
      </c>
      <c r="L142" s="49">
        <f t="shared" si="16"/>
        <v>16484</v>
      </c>
      <c r="M142" s="62">
        <f t="shared" si="22"/>
        <v>0</v>
      </c>
      <c r="N142" s="49">
        <f t="shared" si="12"/>
        <v>16484</v>
      </c>
    </row>
    <row r="143" spans="1:14" x14ac:dyDescent="0.2">
      <c r="A143" s="50" t="s">
        <v>66</v>
      </c>
      <c r="B143" s="79" t="s">
        <v>210</v>
      </c>
      <c r="C143" s="65" t="s">
        <v>53</v>
      </c>
      <c r="D143" s="46" t="s">
        <v>73</v>
      </c>
      <c r="E143" s="26"/>
      <c r="F143" s="62">
        <f t="shared" si="22"/>
        <v>16484</v>
      </c>
      <c r="G143" s="62">
        <f t="shared" si="22"/>
        <v>0</v>
      </c>
      <c r="H143" s="49">
        <f t="shared" si="14"/>
        <v>16484</v>
      </c>
      <c r="I143" s="62">
        <f t="shared" si="22"/>
        <v>0</v>
      </c>
      <c r="J143" s="49">
        <f t="shared" si="15"/>
        <v>16484</v>
      </c>
      <c r="K143" s="62">
        <f t="shared" si="22"/>
        <v>0</v>
      </c>
      <c r="L143" s="49">
        <f t="shared" si="16"/>
        <v>16484</v>
      </c>
      <c r="M143" s="62">
        <f t="shared" si="22"/>
        <v>0</v>
      </c>
      <c r="N143" s="49">
        <f t="shared" si="12"/>
        <v>16484</v>
      </c>
    </row>
    <row r="144" spans="1:14" x14ac:dyDescent="0.2">
      <c r="A144" s="50" t="str">
        <f ca="1">IF(ISERROR(MATCH(E144,Код_КВР,0)),"",INDIRECT(ADDRESS(MATCH(E144,Код_КВР,0)+1,2,,,"КВР")))</f>
        <v>Социальное обеспечение и иные выплаты населению</v>
      </c>
      <c r="B144" s="79" t="s">
        <v>210</v>
      </c>
      <c r="C144" s="65" t="s">
        <v>53</v>
      </c>
      <c r="D144" s="46" t="s">
        <v>73</v>
      </c>
      <c r="E144" s="26">
        <v>300</v>
      </c>
      <c r="F144" s="62">
        <f t="shared" si="22"/>
        <v>16484</v>
      </c>
      <c r="G144" s="62">
        <f t="shared" si="22"/>
        <v>0</v>
      </c>
      <c r="H144" s="49">
        <f t="shared" si="14"/>
        <v>16484</v>
      </c>
      <c r="I144" s="62">
        <f t="shared" si="22"/>
        <v>0</v>
      </c>
      <c r="J144" s="49">
        <f t="shared" si="15"/>
        <v>16484</v>
      </c>
      <c r="K144" s="62">
        <f t="shared" si="22"/>
        <v>0</v>
      </c>
      <c r="L144" s="49">
        <f t="shared" si="16"/>
        <v>16484</v>
      </c>
      <c r="M144" s="62">
        <f t="shared" si="22"/>
        <v>0</v>
      </c>
      <c r="N144" s="49">
        <f t="shared" si="12"/>
        <v>16484</v>
      </c>
    </row>
    <row r="145" spans="1:14" ht="33" x14ac:dyDescent="0.2">
      <c r="A145" s="50" t="str">
        <f ca="1">IF(ISERROR(MATCH(E145,Код_КВР,0)),"",INDIRECT(ADDRESS(MATCH(E145,Код_КВР,0)+1,2,,,"КВР")))</f>
        <v>Социальные выплаты гражданам, кроме публичных нормативных социальных выплат</v>
      </c>
      <c r="B145" s="79" t="s">
        <v>210</v>
      </c>
      <c r="C145" s="65" t="s">
        <v>53</v>
      </c>
      <c r="D145" s="46" t="s">
        <v>73</v>
      </c>
      <c r="E145" s="26">
        <v>320</v>
      </c>
      <c r="F145" s="62">
        <f>'прил. 8'!G887</f>
        <v>16484</v>
      </c>
      <c r="G145" s="62">
        <f>'прил. 8'!H887</f>
        <v>0</v>
      </c>
      <c r="H145" s="49">
        <f t="shared" si="14"/>
        <v>16484</v>
      </c>
      <c r="I145" s="62">
        <f>'прил. 8'!J887</f>
        <v>0</v>
      </c>
      <c r="J145" s="49">
        <f t="shared" si="15"/>
        <v>16484</v>
      </c>
      <c r="K145" s="62">
        <f>'прил. 8'!L887</f>
        <v>0</v>
      </c>
      <c r="L145" s="49">
        <f t="shared" si="16"/>
        <v>16484</v>
      </c>
      <c r="M145" s="62">
        <f>'прил. 8'!N887</f>
        <v>0</v>
      </c>
      <c r="N145" s="49">
        <f t="shared" si="12"/>
        <v>16484</v>
      </c>
    </row>
    <row r="146" spans="1:14" ht="33" x14ac:dyDescent="0.2">
      <c r="A146" s="50" t="str">
        <f ca="1">IF(ISERROR(MATCH(B146,Код_КЦСР,0)),"",INDIRECT(ADDRESS(MATCH(B146,Код_КЦСР,0)+1,2,,,"КЦСР")))</f>
        <v>Организация проведения общественно-значимых мероприятий в сфере образования, науки и молодежной политики</v>
      </c>
      <c r="B146" s="79" t="s">
        <v>436</v>
      </c>
      <c r="C146" s="65"/>
      <c r="D146" s="46"/>
      <c r="E146" s="26"/>
      <c r="F146" s="62">
        <f t="shared" ref="F146:M148" si="23">F147</f>
        <v>905.5</v>
      </c>
      <c r="G146" s="62">
        <f t="shared" si="23"/>
        <v>0</v>
      </c>
      <c r="H146" s="49">
        <f t="shared" si="14"/>
        <v>905.5</v>
      </c>
      <c r="I146" s="62">
        <f t="shared" si="23"/>
        <v>0</v>
      </c>
      <c r="J146" s="49">
        <f t="shared" si="15"/>
        <v>905.5</v>
      </c>
      <c r="K146" s="62">
        <f t="shared" si="23"/>
        <v>0</v>
      </c>
      <c r="L146" s="49">
        <f t="shared" si="16"/>
        <v>905.5</v>
      </c>
      <c r="M146" s="62">
        <f t="shared" si="23"/>
        <v>0</v>
      </c>
      <c r="N146" s="49">
        <f t="shared" ref="N146:N209" si="24">L146+M146</f>
        <v>905.5</v>
      </c>
    </row>
    <row r="147" spans="1:14" x14ac:dyDescent="0.2">
      <c r="A147" s="50" t="str">
        <f ca="1">IF(ISERROR(MATCH(C147,Код_Раздел,0)),"",INDIRECT(ADDRESS(MATCH(C147,Код_Раздел,0)+1,2,,,"Раздел")))</f>
        <v>Образование</v>
      </c>
      <c r="B147" s="79" t="s">
        <v>436</v>
      </c>
      <c r="C147" s="65" t="s">
        <v>60</v>
      </c>
      <c r="D147" s="46"/>
      <c r="E147" s="26"/>
      <c r="F147" s="62">
        <f t="shared" si="23"/>
        <v>905.5</v>
      </c>
      <c r="G147" s="62">
        <f t="shared" si="23"/>
        <v>0</v>
      </c>
      <c r="H147" s="49">
        <f t="shared" si="14"/>
        <v>905.5</v>
      </c>
      <c r="I147" s="62">
        <f t="shared" si="23"/>
        <v>0</v>
      </c>
      <c r="J147" s="49">
        <f t="shared" si="15"/>
        <v>905.5</v>
      </c>
      <c r="K147" s="62">
        <f t="shared" si="23"/>
        <v>0</v>
      </c>
      <c r="L147" s="49">
        <f t="shared" si="16"/>
        <v>905.5</v>
      </c>
      <c r="M147" s="62">
        <f t="shared" si="23"/>
        <v>0</v>
      </c>
      <c r="N147" s="49">
        <f t="shared" si="24"/>
        <v>905.5</v>
      </c>
    </row>
    <row r="148" spans="1:14" x14ac:dyDescent="0.2">
      <c r="A148" s="50" t="s">
        <v>102</v>
      </c>
      <c r="B148" s="79" t="s">
        <v>436</v>
      </c>
      <c r="C148" s="65" t="s">
        <v>60</v>
      </c>
      <c r="D148" s="46" t="s">
        <v>71</v>
      </c>
      <c r="E148" s="26"/>
      <c r="F148" s="62">
        <f t="shared" si="23"/>
        <v>905.5</v>
      </c>
      <c r="G148" s="62">
        <f t="shared" si="23"/>
        <v>0</v>
      </c>
      <c r="H148" s="49">
        <f t="shared" si="14"/>
        <v>905.5</v>
      </c>
      <c r="I148" s="62">
        <f t="shared" si="23"/>
        <v>0</v>
      </c>
      <c r="J148" s="49">
        <f t="shared" si="15"/>
        <v>905.5</v>
      </c>
      <c r="K148" s="62">
        <f t="shared" si="23"/>
        <v>0</v>
      </c>
      <c r="L148" s="49">
        <f t="shared" si="16"/>
        <v>905.5</v>
      </c>
      <c r="M148" s="62">
        <f t="shared" si="23"/>
        <v>0</v>
      </c>
      <c r="N148" s="49">
        <f t="shared" si="24"/>
        <v>905.5</v>
      </c>
    </row>
    <row r="149" spans="1:14" ht="33" x14ac:dyDescent="0.2">
      <c r="A149" s="50" t="str">
        <f ca="1">IF(ISERROR(MATCH(E149,Код_КВР,0)),"",INDIRECT(ADDRESS(MATCH(E149,Код_КВР,0)+1,2,,,"КВР")))</f>
        <v>Предоставление субсидий бюджетным, автономным учреждениям и иным некоммерческим организациям</v>
      </c>
      <c r="B149" s="79" t="s">
        <v>436</v>
      </c>
      <c r="C149" s="65" t="s">
        <v>60</v>
      </c>
      <c r="D149" s="46" t="s">
        <v>71</v>
      </c>
      <c r="E149" s="26">
        <v>600</v>
      </c>
      <c r="F149" s="62">
        <f>F150+F151</f>
        <v>905.5</v>
      </c>
      <c r="G149" s="62">
        <f>G150+G151</f>
        <v>0</v>
      </c>
      <c r="H149" s="49">
        <f t="shared" si="14"/>
        <v>905.5</v>
      </c>
      <c r="I149" s="62">
        <f>I150+I151</f>
        <v>0</v>
      </c>
      <c r="J149" s="49">
        <f t="shared" si="15"/>
        <v>905.5</v>
      </c>
      <c r="K149" s="62">
        <f>K150+K151</f>
        <v>0</v>
      </c>
      <c r="L149" s="49">
        <f t="shared" ref="L149:L212" si="25">J149+K149</f>
        <v>905.5</v>
      </c>
      <c r="M149" s="62">
        <f>M150+M151</f>
        <v>0</v>
      </c>
      <c r="N149" s="49">
        <f t="shared" si="24"/>
        <v>905.5</v>
      </c>
    </row>
    <row r="150" spans="1:14" x14ac:dyDescent="0.2">
      <c r="A150" s="50" t="str">
        <f ca="1">IF(ISERROR(MATCH(E150,Код_КВР,0)),"",INDIRECT(ADDRESS(MATCH(E150,Код_КВР,0)+1,2,,,"КВР")))</f>
        <v>Субсидии бюджетным учреждениям</v>
      </c>
      <c r="B150" s="79" t="s">
        <v>436</v>
      </c>
      <c r="C150" s="65" t="s">
        <v>60</v>
      </c>
      <c r="D150" s="46" t="s">
        <v>71</v>
      </c>
      <c r="E150" s="26">
        <v>610</v>
      </c>
      <c r="F150" s="62">
        <f>'прил. 8'!G740</f>
        <v>886.1</v>
      </c>
      <c r="G150" s="62">
        <f>'прил. 8'!H740</f>
        <v>0</v>
      </c>
      <c r="H150" s="49">
        <f t="shared" si="14"/>
        <v>886.1</v>
      </c>
      <c r="I150" s="62">
        <f>'прил. 8'!J740</f>
        <v>0</v>
      </c>
      <c r="J150" s="49">
        <f t="shared" ref="J150:J213" si="26">H150+I150</f>
        <v>886.1</v>
      </c>
      <c r="K150" s="62">
        <f>'прил. 8'!L740</f>
        <v>-2.7</v>
      </c>
      <c r="L150" s="49">
        <f t="shared" si="25"/>
        <v>883.4</v>
      </c>
      <c r="M150" s="62">
        <f>'прил. 8'!N740</f>
        <v>0</v>
      </c>
      <c r="N150" s="49">
        <f t="shared" si="24"/>
        <v>883.4</v>
      </c>
    </row>
    <row r="151" spans="1:14" x14ac:dyDescent="0.2">
      <c r="A151" s="50" t="str">
        <f ca="1">IF(ISERROR(MATCH(E151,Код_КВР,0)),"",INDIRECT(ADDRESS(MATCH(E151,Код_КВР,0)+1,2,,,"КВР")))</f>
        <v>Субсидии автономным учреждениям</v>
      </c>
      <c r="B151" s="79" t="s">
        <v>436</v>
      </c>
      <c r="C151" s="65" t="s">
        <v>60</v>
      </c>
      <c r="D151" s="46" t="s">
        <v>71</v>
      </c>
      <c r="E151" s="26">
        <v>620</v>
      </c>
      <c r="F151" s="62">
        <f>'прил. 8'!G741</f>
        <v>19.399999999999999</v>
      </c>
      <c r="G151" s="62">
        <f>'прил. 8'!H741</f>
        <v>0</v>
      </c>
      <c r="H151" s="49">
        <f t="shared" si="14"/>
        <v>19.399999999999999</v>
      </c>
      <c r="I151" s="62">
        <f>'прил. 8'!J741</f>
        <v>0</v>
      </c>
      <c r="J151" s="49">
        <f t="shared" si="26"/>
        <v>19.399999999999999</v>
      </c>
      <c r="K151" s="62">
        <f>'прил. 8'!L741</f>
        <v>2.7</v>
      </c>
      <c r="L151" s="49">
        <f t="shared" si="25"/>
        <v>22.099999999999998</v>
      </c>
      <c r="M151" s="62">
        <f>'прил. 8'!N741</f>
        <v>0</v>
      </c>
      <c r="N151" s="49">
        <f t="shared" si="24"/>
        <v>22.099999999999998</v>
      </c>
    </row>
    <row r="152" spans="1:14" x14ac:dyDescent="0.2">
      <c r="A152" s="50" t="str">
        <f ca="1">IF(ISERROR(MATCH(B152,Код_КЦСР,0)),"",INDIRECT(ADDRESS(MATCH(B152,Код_КЦСР,0)+1,2,,,"КЦСР")))</f>
        <v>Дополнительное образование</v>
      </c>
      <c r="B152" s="79" t="s">
        <v>211</v>
      </c>
      <c r="C152" s="65"/>
      <c r="D152" s="46"/>
      <c r="E152" s="26"/>
      <c r="F152" s="62">
        <f>F153+F162+F167+F177</f>
        <v>148781.6</v>
      </c>
      <c r="G152" s="62">
        <f>G153+G162+G167+G177</f>
        <v>0</v>
      </c>
      <c r="H152" s="49">
        <f t="shared" si="14"/>
        <v>148781.6</v>
      </c>
      <c r="I152" s="62">
        <f>I153+I162+I167+I177+I172</f>
        <v>0</v>
      </c>
      <c r="J152" s="49">
        <f t="shared" si="26"/>
        <v>148781.6</v>
      </c>
      <c r="K152" s="62">
        <f>K153+K162+K167+K177+K172</f>
        <v>-2631.1000000000004</v>
      </c>
      <c r="L152" s="49">
        <f t="shared" si="25"/>
        <v>146150.5</v>
      </c>
      <c r="M152" s="62">
        <f>M153+M162+M167+M177+M172</f>
        <v>318.39999999999998</v>
      </c>
      <c r="N152" s="49">
        <f t="shared" si="24"/>
        <v>146468.9</v>
      </c>
    </row>
    <row r="153" spans="1:14" x14ac:dyDescent="0.2">
      <c r="A153" s="50" t="str">
        <f ca="1">IF(ISERROR(MATCH(B153,Код_КЦСР,0)),"",INDIRECT(ADDRESS(MATCH(B153,Код_КЦСР,0)+1,2,,,"КЦСР")))</f>
        <v>Организация предоставления дополнительного образования детям</v>
      </c>
      <c r="B153" s="79" t="s">
        <v>212</v>
      </c>
      <c r="C153" s="65"/>
      <c r="D153" s="46"/>
      <c r="E153" s="26"/>
      <c r="F153" s="62">
        <f>F154</f>
        <v>110729.1</v>
      </c>
      <c r="G153" s="62">
        <f>G154</f>
        <v>0</v>
      </c>
      <c r="H153" s="49">
        <f t="shared" si="14"/>
        <v>110729.1</v>
      </c>
      <c r="I153" s="62">
        <f>I154</f>
        <v>-47075.199999999997</v>
      </c>
      <c r="J153" s="49">
        <f t="shared" si="26"/>
        <v>63653.900000000009</v>
      </c>
      <c r="K153" s="62">
        <f>K154</f>
        <v>0</v>
      </c>
      <c r="L153" s="49">
        <f t="shared" si="25"/>
        <v>63653.900000000009</v>
      </c>
      <c r="M153" s="62">
        <f>M154</f>
        <v>0</v>
      </c>
      <c r="N153" s="49">
        <f t="shared" si="24"/>
        <v>63653.900000000009</v>
      </c>
    </row>
    <row r="154" spans="1:14" x14ac:dyDescent="0.2">
      <c r="A154" s="50" t="str">
        <f ca="1">IF(ISERROR(MATCH(C154,Код_Раздел,0)),"",INDIRECT(ADDRESS(MATCH(C154,Код_Раздел,0)+1,2,,,"Раздел")))</f>
        <v>Образование</v>
      </c>
      <c r="B154" s="79" t="s">
        <v>212</v>
      </c>
      <c r="C154" s="65" t="s">
        <v>60</v>
      </c>
      <c r="D154" s="46"/>
      <c r="E154" s="26"/>
      <c r="F154" s="62">
        <f>F155+F159</f>
        <v>110729.1</v>
      </c>
      <c r="G154" s="62">
        <f>G155+G159</f>
        <v>0</v>
      </c>
      <c r="H154" s="49">
        <f t="shared" si="14"/>
        <v>110729.1</v>
      </c>
      <c r="I154" s="62">
        <f>I155+I159</f>
        <v>-47075.199999999997</v>
      </c>
      <c r="J154" s="49">
        <f t="shared" si="26"/>
        <v>63653.900000000009</v>
      </c>
      <c r="K154" s="62">
        <f>K155+K159</f>
        <v>0</v>
      </c>
      <c r="L154" s="49">
        <f t="shared" si="25"/>
        <v>63653.900000000009</v>
      </c>
      <c r="M154" s="62">
        <f>M155+M159</f>
        <v>0</v>
      </c>
      <c r="N154" s="49">
        <f t="shared" si="24"/>
        <v>63653.900000000009</v>
      </c>
    </row>
    <row r="155" spans="1:14" x14ac:dyDescent="0.2">
      <c r="A155" s="50" t="s">
        <v>465</v>
      </c>
      <c r="B155" s="79" t="s">
        <v>212</v>
      </c>
      <c r="C155" s="65" t="s">
        <v>60</v>
      </c>
      <c r="D155" s="46" t="s">
        <v>72</v>
      </c>
      <c r="E155" s="26"/>
      <c r="F155" s="62">
        <f>F156</f>
        <v>110729.1</v>
      </c>
      <c r="G155" s="62">
        <f>G156</f>
        <v>0</v>
      </c>
      <c r="H155" s="49">
        <f t="shared" si="14"/>
        <v>110729.1</v>
      </c>
      <c r="I155" s="62">
        <f>I156</f>
        <v>-47075.199999999997</v>
      </c>
      <c r="J155" s="49">
        <f t="shared" si="26"/>
        <v>63653.900000000009</v>
      </c>
      <c r="K155" s="62">
        <f>K156</f>
        <v>-31.7</v>
      </c>
      <c r="L155" s="49">
        <f t="shared" si="25"/>
        <v>63622.200000000012</v>
      </c>
      <c r="M155" s="62">
        <f>M156</f>
        <v>-30.9</v>
      </c>
      <c r="N155" s="49">
        <f t="shared" si="24"/>
        <v>63591.30000000001</v>
      </c>
    </row>
    <row r="156" spans="1:14" ht="33" x14ac:dyDescent="0.2">
      <c r="A156" s="50" t="str">
        <f ca="1">IF(ISERROR(MATCH(E156,Код_КВР,0)),"",INDIRECT(ADDRESS(MATCH(E156,Код_КВР,0)+1,2,,,"КВР")))</f>
        <v>Предоставление субсидий бюджетным, автономным учреждениям и иным некоммерческим организациям</v>
      </c>
      <c r="B156" s="79" t="s">
        <v>212</v>
      </c>
      <c r="C156" s="65" t="s">
        <v>60</v>
      </c>
      <c r="D156" s="46" t="s">
        <v>72</v>
      </c>
      <c r="E156" s="26">
        <v>600</v>
      </c>
      <c r="F156" s="62">
        <f>F157+F158</f>
        <v>110729.1</v>
      </c>
      <c r="G156" s="62">
        <f>G157+G158</f>
        <v>0</v>
      </c>
      <c r="H156" s="49">
        <f t="shared" si="14"/>
        <v>110729.1</v>
      </c>
      <c r="I156" s="62">
        <f>I157+I158</f>
        <v>-47075.199999999997</v>
      </c>
      <c r="J156" s="49">
        <f t="shared" si="26"/>
        <v>63653.900000000009</v>
      </c>
      <c r="K156" s="62">
        <f>K157+K158</f>
        <v>-31.7</v>
      </c>
      <c r="L156" s="49">
        <f t="shared" si="25"/>
        <v>63622.200000000012</v>
      </c>
      <c r="M156" s="62">
        <f>M157+M158</f>
        <v>-30.9</v>
      </c>
      <c r="N156" s="49">
        <f t="shared" si="24"/>
        <v>63591.30000000001</v>
      </c>
    </row>
    <row r="157" spans="1:14" x14ac:dyDescent="0.2">
      <c r="A157" s="50" t="str">
        <f ca="1">IF(ISERROR(MATCH(E157,Код_КВР,0)),"",INDIRECT(ADDRESS(MATCH(E157,Код_КВР,0)+1,2,,,"КВР")))</f>
        <v>Субсидии бюджетным учреждениям</v>
      </c>
      <c r="B157" s="79" t="s">
        <v>212</v>
      </c>
      <c r="C157" s="65" t="s">
        <v>60</v>
      </c>
      <c r="D157" s="46" t="s">
        <v>72</v>
      </c>
      <c r="E157" s="26">
        <v>610</v>
      </c>
      <c r="F157" s="62">
        <f>'прил. 8'!G802</f>
        <v>97201</v>
      </c>
      <c r="G157" s="62">
        <f>'прил. 8'!H802</f>
        <v>0</v>
      </c>
      <c r="H157" s="49">
        <f t="shared" si="14"/>
        <v>97201</v>
      </c>
      <c r="I157" s="62">
        <f>'прил. 8'!J802</f>
        <v>-35820.399999999994</v>
      </c>
      <c r="J157" s="49">
        <f t="shared" si="26"/>
        <v>61380.600000000006</v>
      </c>
      <c r="K157" s="62">
        <f>'прил. 8'!L802</f>
        <v>-31.7</v>
      </c>
      <c r="L157" s="49">
        <f t="shared" si="25"/>
        <v>61348.900000000009</v>
      </c>
      <c r="M157" s="62">
        <f>'прил. 8'!N802</f>
        <v>-30.9</v>
      </c>
      <c r="N157" s="49">
        <f t="shared" si="24"/>
        <v>61318.000000000007</v>
      </c>
    </row>
    <row r="158" spans="1:14" x14ac:dyDescent="0.2">
      <c r="A158" s="50" t="str">
        <f ca="1">IF(ISERROR(MATCH(E158,Код_КВР,0)),"",INDIRECT(ADDRESS(MATCH(E158,Код_КВР,0)+1,2,,,"КВР")))</f>
        <v>Субсидии автономным учреждениям</v>
      </c>
      <c r="B158" s="79" t="s">
        <v>212</v>
      </c>
      <c r="C158" s="65" t="s">
        <v>60</v>
      </c>
      <c r="D158" s="46" t="s">
        <v>72</v>
      </c>
      <c r="E158" s="26">
        <v>620</v>
      </c>
      <c r="F158" s="62">
        <f>'прил. 8'!G803</f>
        <v>13528.1</v>
      </c>
      <c r="G158" s="62">
        <f>'прил. 8'!H803</f>
        <v>0</v>
      </c>
      <c r="H158" s="49">
        <f t="shared" si="14"/>
        <v>13528.1</v>
      </c>
      <c r="I158" s="62">
        <f>'прил. 8'!J803</f>
        <v>-11254.8</v>
      </c>
      <c r="J158" s="49">
        <f t="shared" si="26"/>
        <v>2273.3000000000011</v>
      </c>
      <c r="K158" s="62">
        <f>'прил. 8'!L803</f>
        <v>0</v>
      </c>
      <c r="L158" s="49">
        <f t="shared" si="25"/>
        <v>2273.3000000000011</v>
      </c>
      <c r="M158" s="62">
        <f>'прил. 8'!N803</f>
        <v>0</v>
      </c>
      <c r="N158" s="49">
        <f t="shared" si="24"/>
        <v>2273.3000000000011</v>
      </c>
    </row>
    <row r="159" spans="1:14" x14ac:dyDescent="0.2">
      <c r="A159" s="45" t="s">
        <v>532</v>
      </c>
      <c r="B159" s="79" t="s">
        <v>212</v>
      </c>
      <c r="C159" s="65" t="s">
        <v>60</v>
      </c>
      <c r="D159" s="46" t="s">
        <v>78</v>
      </c>
      <c r="E159" s="26"/>
      <c r="F159" s="62">
        <f>F160</f>
        <v>0</v>
      </c>
      <c r="G159" s="62">
        <f>G160</f>
        <v>0</v>
      </c>
      <c r="H159" s="49">
        <f t="shared" si="14"/>
        <v>0</v>
      </c>
      <c r="I159" s="62">
        <f>I160</f>
        <v>0</v>
      </c>
      <c r="J159" s="49">
        <f t="shared" si="26"/>
        <v>0</v>
      </c>
      <c r="K159" s="62">
        <f>K160</f>
        <v>31.7</v>
      </c>
      <c r="L159" s="49">
        <f t="shared" si="25"/>
        <v>31.7</v>
      </c>
      <c r="M159" s="62">
        <f>M160</f>
        <v>30.9</v>
      </c>
      <c r="N159" s="49">
        <f t="shared" si="24"/>
        <v>62.599999999999994</v>
      </c>
    </row>
    <row r="160" spans="1:14" ht="33" x14ac:dyDescent="0.2">
      <c r="A160" s="50" t="str">
        <f ca="1">IF(ISERROR(MATCH(E160,Код_КВР,0)),"",INDIRECT(ADDRESS(MATCH(E160,Код_КВР,0)+1,2,,,"КВР")))</f>
        <v>Предоставление субсидий бюджетным, автономным учреждениям и иным некоммерческим организациям</v>
      </c>
      <c r="B160" s="79" t="s">
        <v>212</v>
      </c>
      <c r="C160" s="65" t="s">
        <v>60</v>
      </c>
      <c r="D160" s="46" t="s">
        <v>78</v>
      </c>
      <c r="E160" s="26">
        <v>600</v>
      </c>
      <c r="F160" s="62">
        <f>F161</f>
        <v>0</v>
      </c>
      <c r="G160" s="62">
        <f>G161</f>
        <v>0</v>
      </c>
      <c r="H160" s="49">
        <f t="shared" si="14"/>
        <v>0</v>
      </c>
      <c r="I160" s="62">
        <f>I161</f>
        <v>0</v>
      </c>
      <c r="J160" s="49">
        <f t="shared" si="26"/>
        <v>0</v>
      </c>
      <c r="K160" s="62">
        <f>K161</f>
        <v>31.7</v>
      </c>
      <c r="L160" s="49">
        <f t="shared" si="25"/>
        <v>31.7</v>
      </c>
      <c r="M160" s="62">
        <f>M161</f>
        <v>30.9</v>
      </c>
      <c r="N160" s="49">
        <f t="shared" si="24"/>
        <v>62.599999999999994</v>
      </c>
    </row>
    <row r="161" spans="1:14" x14ac:dyDescent="0.2">
      <c r="A161" s="50" t="str">
        <f ca="1">IF(ISERROR(MATCH(E161,Код_КВР,0)),"",INDIRECT(ADDRESS(MATCH(E161,Код_КВР,0)+1,2,,,"КВР")))</f>
        <v>Субсидии бюджетным учреждениям</v>
      </c>
      <c r="B161" s="79" t="s">
        <v>212</v>
      </c>
      <c r="C161" s="65" t="s">
        <v>60</v>
      </c>
      <c r="D161" s="46" t="s">
        <v>78</v>
      </c>
      <c r="E161" s="26">
        <v>610</v>
      </c>
      <c r="F161" s="62">
        <f>'прил. 8'!G841</f>
        <v>0</v>
      </c>
      <c r="G161" s="62">
        <f>'прил. 8'!H841</f>
        <v>0</v>
      </c>
      <c r="H161" s="49">
        <f t="shared" si="14"/>
        <v>0</v>
      </c>
      <c r="I161" s="62">
        <f>'прил. 8'!J841</f>
        <v>0</v>
      </c>
      <c r="J161" s="49">
        <f t="shared" si="26"/>
        <v>0</v>
      </c>
      <c r="K161" s="62">
        <f>'прил. 8'!L841</f>
        <v>31.7</v>
      </c>
      <c r="L161" s="49">
        <f t="shared" si="25"/>
        <v>31.7</v>
      </c>
      <c r="M161" s="62">
        <f>'прил. 8'!N841</f>
        <v>30.9</v>
      </c>
      <c r="N161" s="49">
        <f t="shared" si="24"/>
        <v>62.599999999999994</v>
      </c>
    </row>
    <row r="162" spans="1:14" ht="49.5" x14ac:dyDescent="0.2">
      <c r="A162" s="50" t="str">
        <f ca="1">IF(ISERROR(MATCH(B162,Код_КЦСР,0)),"",INDIRECT(ADDRESS(MATCH(B162,Код_КЦСР,0)+1,2,,,"КЦСР")))</f>
        <v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v>
      </c>
      <c r="B162" s="79" t="s">
        <v>214</v>
      </c>
      <c r="C162" s="65"/>
      <c r="D162" s="46"/>
      <c r="E162" s="26"/>
      <c r="F162" s="62">
        <f t="shared" ref="F162:M165" si="27">F163</f>
        <v>258</v>
      </c>
      <c r="G162" s="62">
        <f t="shared" si="27"/>
        <v>0</v>
      </c>
      <c r="H162" s="49">
        <f t="shared" si="14"/>
        <v>258</v>
      </c>
      <c r="I162" s="62">
        <f t="shared" si="27"/>
        <v>0</v>
      </c>
      <c r="J162" s="49">
        <f t="shared" si="26"/>
        <v>258</v>
      </c>
      <c r="K162" s="62">
        <f t="shared" si="27"/>
        <v>0</v>
      </c>
      <c r="L162" s="49">
        <f t="shared" si="25"/>
        <v>258</v>
      </c>
      <c r="M162" s="62">
        <f t="shared" si="27"/>
        <v>0</v>
      </c>
      <c r="N162" s="49">
        <f t="shared" si="24"/>
        <v>258</v>
      </c>
    </row>
    <row r="163" spans="1:14" x14ac:dyDescent="0.2">
      <c r="A163" s="50" t="str">
        <f ca="1">IF(ISERROR(MATCH(C163,Код_Раздел,0)),"",INDIRECT(ADDRESS(MATCH(C163,Код_Раздел,0)+1,2,,,"Раздел")))</f>
        <v>Образование</v>
      </c>
      <c r="B163" s="79" t="s">
        <v>214</v>
      </c>
      <c r="C163" s="65" t="s">
        <v>60</v>
      </c>
      <c r="D163" s="46"/>
      <c r="E163" s="26"/>
      <c r="F163" s="62">
        <f t="shared" si="27"/>
        <v>258</v>
      </c>
      <c r="G163" s="62">
        <f t="shared" si="27"/>
        <v>0</v>
      </c>
      <c r="H163" s="49">
        <f t="shared" si="14"/>
        <v>258</v>
      </c>
      <c r="I163" s="62">
        <f t="shared" si="27"/>
        <v>0</v>
      </c>
      <c r="J163" s="49">
        <f t="shared" si="26"/>
        <v>258</v>
      </c>
      <c r="K163" s="62">
        <f t="shared" si="27"/>
        <v>0</v>
      </c>
      <c r="L163" s="49">
        <f t="shared" si="25"/>
        <v>258</v>
      </c>
      <c r="M163" s="62">
        <f t="shared" si="27"/>
        <v>0</v>
      </c>
      <c r="N163" s="49">
        <f t="shared" si="24"/>
        <v>258</v>
      </c>
    </row>
    <row r="164" spans="1:14" x14ac:dyDescent="0.2">
      <c r="A164" s="50" t="s">
        <v>465</v>
      </c>
      <c r="B164" s="79" t="s">
        <v>214</v>
      </c>
      <c r="C164" s="65" t="s">
        <v>60</v>
      </c>
      <c r="D164" s="46" t="s">
        <v>72</v>
      </c>
      <c r="E164" s="26"/>
      <c r="F164" s="62">
        <f t="shared" si="27"/>
        <v>258</v>
      </c>
      <c r="G164" s="62">
        <f t="shared" si="27"/>
        <v>0</v>
      </c>
      <c r="H164" s="49">
        <f t="shared" si="14"/>
        <v>258</v>
      </c>
      <c r="I164" s="62">
        <f t="shared" si="27"/>
        <v>0</v>
      </c>
      <c r="J164" s="49">
        <f t="shared" si="26"/>
        <v>258</v>
      </c>
      <c r="K164" s="62">
        <f t="shared" si="27"/>
        <v>0</v>
      </c>
      <c r="L164" s="49">
        <f t="shared" si="25"/>
        <v>258</v>
      </c>
      <c r="M164" s="62">
        <f t="shared" si="27"/>
        <v>0</v>
      </c>
      <c r="N164" s="49">
        <f t="shared" si="24"/>
        <v>258</v>
      </c>
    </row>
    <row r="165" spans="1:14" ht="33" x14ac:dyDescent="0.2">
      <c r="A165" s="50" t="str">
        <f ca="1">IF(ISERROR(MATCH(E165,Код_КВР,0)),"",INDIRECT(ADDRESS(MATCH(E165,Код_КВР,0)+1,2,,,"КВР")))</f>
        <v>Предоставление субсидий бюджетным, автономным учреждениям и иным некоммерческим организациям</v>
      </c>
      <c r="B165" s="79" t="s">
        <v>214</v>
      </c>
      <c r="C165" s="65" t="s">
        <v>60</v>
      </c>
      <c r="D165" s="46" t="s">
        <v>72</v>
      </c>
      <c r="E165" s="26">
        <v>600</v>
      </c>
      <c r="F165" s="62">
        <f t="shared" si="27"/>
        <v>258</v>
      </c>
      <c r="G165" s="62">
        <f t="shared" si="27"/>
        <v>0</v>
      </c>
      <c r="H165" s="49">
        <f t="shared" si="14"/>
        <v>258</v>
      </c>
      <c r="I165" s="62">
        <f t="shared" si="27"/>
        <v>0</v>
      </c>
      <c r="J165" s="49">
        <f t="shared" si="26"/>
        <v>258</v>
      </c>
      <c r="K165" s="62">
        <f t="shared" si="27"/>
        <v>0</v>
      </c>
      <c r="L165" s="49">
        <f t="shared" si="25"/>
        <v>258</v>
      </c>
      <c r="M165" s="62">
        <f t="shared" si="27"/>
        <v>0</v>
      </c>
      <c r="N165" s="49">
        <f t="shared" si="24"/>
        <v>258</v>
      </c>
    </row>
    <row r="166" spans="1:14" x14ac:dyDescent="0.2">
      <c r="A166" s="50" t="str">
        <f ca="1">IF(ISERROR(MATCH(E166,Код_КВР,0)),"",INDIRECT(ADDRESS(MATCH(E166,Код_КВР,0)+1,2,,,"КВР")))</f>
        <v>Субсидии бюджетным учреждениям</v>
      </c>
      <c r="B166" s="79" t="s">
        <v>214</v>
      </c>
      <c r="C166" s="65" t="s">
        <v>60</v>
      </c>
      <c r="D166" s="46" t="s">
        <v>72</v>
      </c>
      <c r="E166" s="26">
        <v>610</v>
      </c>
      <c r="F166" s="62">
        <f>'прил. 8'!G806</f>
        <v>258</v>
      </c>
      <c r="G166" s="62">
        <f>'прил. 8'!H806</f>
        <v>0</v>
      </c>
      <c r="H166" s="49">
        <f t="shared" si="14"/>
        <v>258</v>
      </c>
      <c r="I166" s="62">
        <f>'прил. 8'!J806</f>
        <v>0</v>
      </c>
      <c r="J166" s="49">
        <f t="shared" si="26"/>
        <v>258</v>
      </c>
      <c r="K166" s="62">
        <f>'прил. 8'!L806</f>
        <v>0</v>
      </c>
      <c r="L166" s="49">
        <f t="shared" si="25"/>
        <v>258</v>
      </c>
      <c r="M166" s="62">
        <f>'прил. 8'!N806</f>
        <v>0</v>
      </c>
      <c r="N166" s="49">
        <f t="shared" si="24"/>
        <v>258</v>
      </c>
    </row>
    <row r="167" spans="1:14" ht="35.25" customHeight="1" x14ac:dyDescent="0.2">
      <c r="A167" s="50" t="str">
        <f ca="1">IF(ISERROR(MATCH(B167,Код_КЦСР,0)),"",INDIRECT(ADDRESS(MATCH(B167,Код_КЦСР,0)+1,2,,,"КЦСР")))</f>
        <v>Организация проведения общественно-значимых мероприятий в сфере образования, науки и молодежной политики</v>
      </c>
      <c r="B167" s="79" t="s">
        <v>438</v>
      </c>
      <c r="C167" s="65"/>
      <c r="D167" s="46"/>
      <c r="E167" s="26"/>
      <c r="F167" s="62">
        <f t="shared" ref="F167:M170" si="28">F168</f>
        <v>594.5</v>
      </c>
      <c r="G167" s="62">
        <f t="shared" si="28"/>
        <v>0</v>
      </c>
      <c r="H167" s="49">
        <f t="shared" si="14"/>
        <v>594.5</v>
      </c>
      <c r="I167" s="62">
        <f t="shared" si="28"/>
        <v>0</v>
      </c>
      <c r="J167" s="49">
        <f t="shared" si="26"/>
        <v>594.5</v>
      </c>
      <c r="K167" s="62">
        <f t="shared" si="28"/>
        <v>0</v>
      </c>
      <c r="L167" s="49">
        <f t="shared" si="25"/>
        <v>594.5</v>
      </c>
      <c r="M167" s="62">
        <f t="shared" si="28"/>
        <v>0</v>
      </c>
      <c r="N167" s="49">
        <f t="shared" si="24"/>
        <v>594.5</v>
      </c>
    </row>
    <row r="168" spans="1:14" x14ac:dyDescent="0.2">
      <c r="A168" s="50" t="str">
        <f ca="1">IF(ISERROR(MATCH(C168,Код_Раздел,0)),"",INDIRECT(ADDRESS(MATCH(C168,Код_Раздел,0)+1,2,,,"Раздел")))</f>
        <v>Образование</v>
      </c>
      <c r="B168" s="79" t="s">
        <v>438</v>
      </c>
      <c r="C168" s="65" t="s">
        <v>60</v>
      </c>
      <c r="D168" s="46"/>
      <c r="E168" s="26"/>
      <c r="F168" s="62">
        <f t="shared" si="28"/>
        <v>594.5</v>
      </c>
      <c r="G168" s="62">
        <f t="shared" si="28"/>
        <v>0</v>
      </c>
      <c r="H168" s="49">
        <f t="shared" ref="H168:H236" si="29">F168+G168</f>
        <v>594.5</v>
      </c>
      <c r="I168" s="62">
        <f t="shared" si="28"/>
        <v>0</v>
      </c>
      <c r="J168" s="49">
        <f t="shared" si="26"/>
        <v>594.5</v>
      </c>
      <c r="K168" s="62">
        <f t="shared" si="28"/>
        <v>0</v>
      </c>
      <c r="L168" s="49">
        <f t="shared" si="25"/>
        <v>594.5</v>
      </c>
      <c r="M168" s="62">
        <f t="shared" si="28"/>
        <v>0</v>
      </c>
      <c r="N168" s="49">
        <f t="shared" si="24"/>
        <v>594.5</v>
      </c>
    </row>
    <row r="169" spans="1:14" x14ac:dyDescent="0.2">
      <c r="A169" s="50" t="s">
        <v>465</v>
      </c>
      <c r="B169" s="79" t="s">
        <v>438</v>
      </c>
      <c r="C169" s="65" t="s">
        <v>60</v>
      </c>
      <c r="D169" s="46" t="s">
        <v>72</v>
      </c>
      <c r="E169" s="26"/>
      <c r="F169" s="62">
        <f t="shared" si="28"/>
        <v>594.5</v>
      </c>
      <c r="G169" s="62">
        <f t="shared" si="28"/>
        <v>0</v>
      </c>
      <c r="H169" s="49">
        <f t="shared" si="29"/>
        <v>594.5</v>
      </c>
      <c r="I169" s="62">
        <f t="shared" si="28"/>
        <v>0</v>
      </c>
      <c r="J169" s="49">
        <f t="shared" si="26"/>
        <v>594.5</v>
      </c>
      <c r="K169" s="62">
        <f t="shared" si="28"/>
        <v>0</v>
      </c>
      <c r="L169" s="49">
        <f t="shared" si="25"/>
        <v>594.5</v>
      </c>
      <c r="M169" s="62">
        <f t="shared" si="28"/>
        <v>0</v>
      </c>
      <c r="N169" s="49">
        <f t="shared" si="24"/>
        <v>594.5</v>
      </c>
    </row>
    <row r="170" spans="1:14" ht="33" x14ac:dyDescent="0.2">
      <c r="A170" s="50" t="str">
        <f ca="1">IF(ISERROR(MATCH(E170,Код_КВР,0)),"",INDIRECT(ADDRESS(MATCH(E170,Код_КВР,0)+1,2,,,"КВР")))</f>
        <v>Предоставление субсидий бюджетным, автономным учреждениям и иным некоммерческим организациям</v>
      </c>
      <c r="B170" s="79" t="s">
        <v>438</v>
      </c>
      <c r="C170" s="65" t="s">
        <v>60</v>
      </c>
      <c r="D170" s="46" t="s">
        <v>72</v>
      </c>
      <c r="E170" s="26">
        <v>600</v>
      </c>
      <c r="F170" s="62">
        <f t="shared" si="28"/>
        <v>594.5</v>
      </c>
      <c r="G170" s="62">
        <f t="shared" si="28"/>
        <v>0</v>
      </c>
      <c r="H170" s="49">
        <f t="shared" si="29"/>
        <v>594.5</v>
      </c>
      <c r="I170" s="62">
        <f t="shared" si="28"/>
        <v>0</v>
      </c>
      <c r="J170" s="49">
        <f t="shared" si="26"/>
        <v>594.5</v>
      </c>
      <c r="K170" s="62">
        <f t="shared" si="28"/>
        <v>0</v>
      </c>
      <c r="L170" s="49">
        <f t="shared" si="25"/>
        <v>594.5</v>
      </c>
      <c r="M170" s="62">
        <f t="shared" si="28"/>
        <v>0</v>
      </c>
      <c r="N170" s="49">
        <f t="shared" si="24"/>
        <v>594.5</v>
      </c>
    </row>
    <row r="171" spans="1:14" x14ac:dyDescent="0.2">
      <c r="A171" s="50" t="str">
        <f ca="1">IF(ISERROR(MATCH(E171,Код_КВР,0)),"",INDIRECT(ADDRESS(MATCH(E171,Код_КВР,0)+1,2,,,"КВР")))</f>
        <v>Субсидии бюджетным учреждениям</v>
      </c>
      <c r="B171" s="79" t="s">
        <v>438</v>
      </c>
      <c r="C171" s="65" t="s">
        <v>60</v>
      </c>
      <c r="D171" s="46" t="s">
        <v>72</v>
      </c>
      <c r="E171" s="26">
        <v>610</v>
      </c>
      <c r="F171" s="62">
        <f>'прил. 8'!G809</f>
        <v>594.5</v>
      </c>
      <c r="G171" s="62">
        <f>'прил. 8'!H809</f>
        <v>0</v>
      </c>
      <c r="H171" s="49">
        <f t="shared" si="29"/>
        <v>594.5</v>
      </c>
      <c r="I171" s="62">
        <f>'прил. 8'!J809</f>
        <v>0</v>
      </c>
      <c r="J171" s="49">
        <f t="shared" si="26"/>
        <v>594.5</v>
      </c>
      <c r="K171" s="62">
        <f>'прил. 8'!L809</f>
        <v>0</v>
      </c>
      <c r="L171" s="49">
        <f t="shared" si="25"/>
        <v>594.5</v>
      </c>
      <c r="M171" s="62">
        <f>'прил. 8'!N809</f>
        <v>0</v>
      </c>
      <c r="N171" s="49">
        <f t="shared" si="24"/>
        <v>594.5</v>
      </c>
    </row>
    <row r="172" spans="1:14" ht="43.5" customHeight="1" x14ac:dyDescent="0.2">
      <c r="A172" s="50" t="str">
        <f ca="1">IF(ISERROR(MATCH(B172,Код_КЦСР,0)),"",INDIRECT(ADDRESS(MATCH(B172,Код_КЦСР,0)+1,2,,,"КЦСР")))</f>
        <v>Формирование современных управленческих и организационно-экономических механизмов в системе дополнительного образования детей</v>
      </c>
      <c r="B172" s="79" t="s">
        <v>680</v>
      </c>
      <c r="C172" s="65"/>
      <c r="D172" s="46"/>
      <c r="E172" s="26"/>
      <c r="F172" s="62"/>
      <c r="G172" s="62"/>
      <c r="H172" s="49"/>
      <c r="I172" s="62">
        <f>I173</f>
        <v>47075.199999999997</v>
      </c>
      <c r="J172" s="49">
        <f t="shared" si="26"/>
        <v>47075.199999999997</v>
      </c>
      <c r="K172" s="62">
        <f>K173</f>
        <v>0</v>
      </c>
      <c r="L172" s="49">
        <f t="shared" si="25"/>
        <v>47075.199999999997</v>
      </c>
      <c r="M172" s="62">
        <f>M173</f>
        <v>318.39999999999998</v>
      </c>
      <c r="N172" s="49">
        <f t="shared" si="24"/>
        <v>47393.599999999999</v>
      </c>
    </row>
    <row r="173" spans="1:14" x14ac:dyDescent="0.2">
      <c r="A173" s="50" t="str">
        <f ca="1">IF(ISERROR(MATCH(C173,Код_Раздел,0)),"",INDIRECT(ADDRESS(MATCH(C173,Код_Раздел,0)+1,2,,,"Раздел")))</f>
        <v>Образование</v>
      </c>
      <c r="B173" s="79" t="s">
        <v>680</v>
      </c>
      <c r="C173" s="65" t="s">
        <v>60</v>
      </c>
      <c r="D173" s="46"/>
      <c r="E173" s="26"/>
      <c r="F173" s="62"/>
      <c r="G173" s="62"/>
      <c r="H173" s="49"/>
      <c r="I173" s="62">
        <f>I174</f>
        <v>47075.199999999997</v>
      </c>
      <c r="J173" s="49">
        <f t="shared" si="26"/>
        <v>47075.199999999997</v>
      </c>
      <c r="K173" s="62">
        <f>K174</f>
        <v>0</v>
      </c>
      <c r="L173" s="49">
        <f t="shared" si="25"/>
        <v>47075.199999999997</v>
      </c>
      <c r="M173" s="62">
        <f>M174</f>
        <v>318.39999999999998</v>
      </c>
      <c r="N173" s="49">
        <f t="shared" si="24"/>
        <v>47393.599999999999</v>
      </c>
    </row>
    <row r="174" spans="1:14" x14ac:dyDescent="0.2">
      <c r="A174" s="50" t="s">
        <v>465</v>
      </c>
      <c r="B174" s="79" t="s">
        <v>680</v>
      </c>
      <c r="C174" s="65" t="s">
        <v>60</v>
      </c>
      <c r="D174" s="46" t="s">
        <v>72</v>
      </c>
      <c r="E174" s="26"/>
      <c r="F174" s="62"/>
      <c r="G174" s="62"/>
      <c r="H174" s="49"/>
      <c r="I174" s="62">
        <f>I175</f>
        <v>47075.199999999997</v>
      </c>
      <c r="J174" s="49">
        <f t="shared" si="26"/>
        <v>47075.199999999997</v>
      </c>
      <c r="K174" s="62">
        <f>K175</f>
        <v>0</v>
      </c>
      <c r="L174" s="49">
        <f t="shared" si="25"/>
        <v>47075.199999999997</v>
      </c>
      <c r="M174" s="62">
        <f>M175</f>
        <v>318.39999999999998</v>
      </c>
      <c r="N174" s="49">
        <f t="shared" si="24"/>
        <v>47393.599999999999</v>
      </c>
    </row>
    <row r="175" spans="1:14" ht="33" x14ac:dyDescent="0.2">
      <c r="A175" s="50" t="str">
        <f ca="1">IF(ISERROR(MATCH(E175,Код_КВР,0)),"",INDIRECT(ADDRESS(MATCH(E175,Код_КВР,0)+1,2,,,"КВР")))</f>
        <v>Предоставление субсидий бюджетным, автономным учреждениям и иным некоммерческим организациям</v>
      </c>
      <c r="B175" s="79" t="s">
        <v>680</v>
      </c>
      <c r="C175" s="65" t="s">
        <v>60</v>
      </c>
      <c r="D175" s="46" t="s">
        <v>72</v>
      </c>
      <c r="E175" s="26">
        <v>600</v>
      </c>
      <c r="F175" s="62"/>
      <c r="G175" s="62"/>
      <c r="H175" s="49"/>
      <c r="I175" s="62">
        <f>I176</f>
        <v>47075.199999999997</v>
      </c>
      <c r="J175" s="49">
        <f t="shared" si="26"/>
        <v>47075.199999999997</v>
      </c>
      <c r="K175" s="62">
        <f>K176</f>
        <v>0</v>
      </c>
      <c r="L175" s="49">
        <f t="shared" si="25"/>
        <v>47075.199999999997</v>
      </c>
      <c r="M175" s="62">
        <f>M176</f>
        <v>318.39999999999998</v>
      </c>
      <c r="N175" s="49">
        <f t="shared" si="24"/>
        <v>47393.599999999999</v>
      </c>
    </row>
    <row r="176" spans="1:14" ht="33.75" customHeight="1" x14ac:dyDescent="0.2">
      <c r="A176" s="50" t="str">
        <f ca="1">IF(ISERROR(MATCH(E176,Код_КВР,0)),"",INDIRECT(ADDRESS(MATCH(E176,Код_КВР,0)+1,2,,,"КВР")))</f>
        <v>Субсидии некоммерческим организациям (за исключением государственных (муниципальных) учреждений)</v>
      </c>
      <c r="B176" s="79" t="s">
        <v>680</v>
      </c>
      <c r="C176" s="65" t="s">
        <v>60</v>
      </c>
      <c r="D176" s="46" t="s">
        <v>72</v>
      </c>
      <c r="E176" s="26">
        <v>630</v>
      </c>
      <c r="F176" s="62"/>
      <c r="G176" s="62"/>
      <c r="H176" s="49"/>
      <c r="I176" s="62">
        <f>'прил. 8'!J812</f>
        <v>47075.199999999997</v>
      </c>
      <c r="J176" s="49">
        <f t="shared" si="26"/>
        <v>47075.199999999997</v>
      </c>
      <c r="K176" s="62">
        <f>'прил. 8'!L812</f>
        <v>0</v>
      </c>
      <c r="L176" s="49">
        <f t="shared" si="25"/>
        <v>47075.199999999997</v>
      </c>
      <c r="M176" s="62">
        <f>'прил. 8'!N812</f>
        <v>318.39999999999998</v>
      </c>
      <c r="N176" s="49">
        <f t="shared" si="24"/>
        <v>47393.599999999999</v>
      </c>
    </row>
    <row r="177" spans="1:14" ht="55.5" customHeight="1" x14ac:dyDescent="0.2">
      <c r="A177" s="50" t="str">
        <f ca="1">IF(ISERROR(MATCH(B177,Код_КЦСР,0)),"",INDIRECT(ADDRESS(MATCH(B177,Код_КЦСР,0)+1,2,,,"КЦСР")))</f>
        <v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</v>
      </c>
      <c r="B177" s="79" t="s">
        <v>495</v>
      </c>
      <c r="C177" s="65"/>
      <c r="D177" s="46"/>
      <c r="E177" s="26"/>
      <c r="F177" s="62">
        <f t="shared" ref="F177:M180" si="30">F178</f>
        <v>37200</v>
      </c>
      <c r="G177" s="62">
        <f t="shared" si="30"/>
        <v>0</v>
      </c>
      <c r="H177" s="49">
        <f t="shared" si="29"/>
        <v>37200</v>
      </c>
      <c r="I177" s="62">
        <f t="shared" si="30"/>
        <v>0</v>
      </c>
      <c r="J177" s="49">
        <f t="shared" si="26"/>
        <v>37200</v>
      </c>
      <c r="K177" s="62">
        <f t="shared" si="30"/>
        <v>-2631.1000000000004</v>
      </c>
      <c r="L177" s="49">
        <f t="shared" si="25"/>
        <v>34568.9</v>
      </c>
      <c r="M177" s="62">
        <f t="shared" si="30"/>
        <v>0</v>
      </c>
      <c r="N177" s="49">
        <f t="shared" si="24"/>
        <v>34568.9</v>
      </c>
    </row>
    <row r="178" spans="1:14" x14ac:dyDescent="0.2">
      <c r="A178" s="50" t="str">
        <f ca="1">IF(ISERROR(MATCH(C178,Код_Раздел,0)),"",INDIRECT(ADDRESS(MATCH(C178,Код_Раздел,0)+1,2,,,"Раздел")))</f>
        <v>Образование</v>
      </c>
      <c r="B178" s="79" t="s">
        <v>495</v>
      </c>
      <c r="C178" s="65" t="s">
        <v>60</v>
      </c>
      <c r="D178" s="46"/>
      <c r="E178" s="26"/>
      <c r="F178" s="62">
        <f t="shared" si="30"/>
        <v>37200</v>
      </c>
      <c r="G178" s="62">
        <f t="shared" si="30"/>
        <v>0</v>
      </c>
      <c r="H178" s="49">
        <f t="shared" si="29"/>
        <v>37200</v>
      </c>
      <c r="I178" s="62">
        <f t="shared" si="30"/>
        <v>0</v>
      </c>
      <c r="J178" s="49">
        <f t="shared" si="26"/>
        <v>37200</v>
      </c>
      <c r="K178" s="62">
        <f t="shared" si="30"/>
        <v>-2631.1000000000004</v>
      </c>
      <c r="L178" s="49">
        <f t="shared" si="25"/>
        <v>34568.9</v>
      </c>
      <c r="M178" s="62">
        <f t="shared" si="30"/>
        <v>0</v>
      </c>
      <c r="N178" s="49">
        <f t="shared" si="24"/>
        <v>34568.9</v>
      </c>
    </row>
    <row r="179" spans="1:14" x14ac:dyDescent="0.2">
      <c r="A179" s="50" t="s">
        <v>465</v>
      </c>
      <c r="B179" s="79" t="s">
        <v>495</v>
      </c>
      <c r="C179" s="65" t="s">
        <v>60</v>
      </c>
      <c r="D179" s="46" t="s">
        <v>72</v>
      </c>
      <c r="E179" s="26"/>
      <c r="F179" s="62">
        <f t="shared" si="30"/>
        <v>37200</v>
      </c>
      <c r="G179" s="62">
        <f t="shared" si="30"/>
        <v>0</v>
      </c>
      <c r="H179" s="49">
        <f t="shared" si="29"/>
        <v>37200</v>
      </c>
      <c r="I179" s="62">
        <f t="shared" si="30"/>
        <v>0</v>
      </c>
      <c r="J179" s="49">
        <f t="shared" si="26"/>
        <v>37200</v>
      </c>
      <c r="K179" s="62">
        <f t="shared" si="30"/>
        <v>-2631.1000000000004</v>
      </c>
      <c r="L179" s="49">
        <f t="shared" si="25"/>
        <v>34568.9</v>
      </c>
      <c r="M179" s="62">
        <f t="shared" si="30"/>
        <v>0</v>
      </c>
      <c r="N179" s="49">
        <f t="shared" si="24"/>
        <v>34568.9</v>
      </c>
    </row>
    <row r="180" spans="1:14" ht="33" x14ac:dyDescent="0.2">
      <c r="A180" s="50" t="str">
        <f ca="1">IF(ISERROR(MATCH(E180,Код_КВР,0)),"",INDIRECT(ADDRESS(MATCH(E180,Код_КВР,0)+1,2,,,"КВР")))</f>
        <v>Закупка товаров, работ и услуг для обеспечения государственных (муниципальных) нужд</v>
      </c>
      <c r="B180" s="79" t="s">
        <v>495</v>
      </c>
      <c r="C180" s="65" t="s">
        <v>60</v>
      </c>
      <c r="D180" s="46" t="s">
        <v>72</v>
      </c>
      <c r="E180" s="26">
        <v>200</v>
      </c>
      <c r="F180" s="62">
        <f t="shared" si="30"/>
        <v>37200</v>
      </c>
      <c r="G180" s="62">
        <f t="shared" si="30"/>
        <v>0</v>
      </c>
      <c r="H180" s="49">
        <f t="shared" si="29"/>
        <v>37200</v>
      </c>
      <c r="I180" s="62">
        <f t="shared" si="30"/>
        <v>0</v>
      </c>
      <c r="J180" s="49">
        <f t="shared" si="26"/>
        <v>37200</v>
      </c>
      <c r="K180" s="62">
        <f t="shared" si="30"/>
        <v>-2631.1000000000004</v>
      </c>
      <c r="L180" s="49">
        <f t="shared" si="25"/>
        <v>34568.9</v>
      </c>
      <c r="M180" s="62">
        <f t="shared" si="30"/>
        <v>0</v>
      </c>
      <c r="N180" s="49">
        <f t="shared" si="24"/>
        <v>34568.9</v>
      </c>
    </row>
    <row r="181" spans="1:14" ht="33" x14ac:dyDescent="0.2">
      <c r="A181" s="50" t="str">
        <f ca="1">IF(ISERROR(MATCH(E181,Код_КВР,0)),"",INDIRECT(ADDRESS(MATCH(E181,Код_КВР,0)+1,2,,,"КВР")))</f>
        <v>Иные закупки товаров, работ и услуг для обеспечения государственных (муниципальных) нужд</v>
      </c>
      <c r="B181" s="79" t="s">
        <v>495</v>
      </c>
      <c r="C181" s="65" t="s">
        <v>60</v>
      </c>
      <c r="D181" s="46" t="s">
        <v>72</v>
      </c>
      <c r="E181" s="26">
        <v>240</v>
      </c>
      <c r="F181" s="62">
        <f>'прил. 8'!G1261</f>
        <v>37200</v>
      </c>
      <c r="G181" s="62">
        <f>'прил. 8'!H1261</f>
        <v>0</v>
      </c>
      <c r="H181" s="49">
        <f t="shared" si="29"/>
        <v>37200</v>
      </c>
      <c r="I181" s="62">
        <f>'прил. 8'!J1261</f>
        <v>0</v>
      </c>
      <c r="J181" s="49">
        <f t="shared" si="26"/>
        <v>37200</v>
      </c>
      <c r="K181" s="62">
        <f>'прил. 8'!L1261</f>
        <v>-2631.1000000000004</v>
      </c>
      <c r="L181" s="49">
        <f t="shared" si="25"/>
        <v>34568.9</v>
      </c>
      <c r="M181" s="62">
        <f>'прил. 8'!N1261</f>
        <v>0</v>
      </c>
      <c r="N181" s="49">
        <f t="shared" si="24"/>
        <v>34568.9</v>
      </c>
    </row>
    <row r="182" spans="1:14" x14ac:dyDescent="0.2">
      <c r="A182" s="50" t="str">
        <f ca="1">IF(ISERROR(MATCH(B182,Код_КЦСР,0)),"",INDIRECT(ADDRESS(MATCH(B182,Код_КЦСР,0)+1,2,,,"КЦСР")))</f>
        <v>Кадровое обеспечение муниципальной системы образования</v>
      </c>
      <c r="B182" s="79" t="s">
        <v>216</v>
      </c>
      <c r="C182" s="65"/>
      <c r="D182" s="46"/>
      <c r="E182" s="26"/>
      <c r="F182" s="62">
        <f>F183+F193+F210</f>
        <v>59401.1</v>
      </c>
      <c r="G182" s="62">
        <f>G183+G193+G210</f>
        <v>0</v>
      </c>
      <c r="H182" s="49">
        <f t="shared" si="29"/>
        <v>59401.1</v>
      </c>
      <c r="I182" s="62">
        <f>I183+I193+I210</f>
        <v>0</v>
      </c>
      <c r="J182" s="49">
        <f t="shared" si="26"/>
        <v>59401.1</v>
      </c>
      <c r="K182" s="62">
        <f>K183+K193+K210</f>
        <v>0</v>
      </c>
      <c r="L182" s="49">
        <f t="shared" si="25"/>
        <v>59401.1</v>
      </c>
      <c r="M182" s="62">
        <f>M183+M193+M210</f>
        <v>-318.39999999999998</v>
      </c>
      <c r="N182" s="49">
        <f t="shared" si="24"/>
        <v>59082.7</v>
      </c>
    </row>
    <row r="183" spans="1:14" ht="33" x14ac:dyDescent="0.2">
      <c r="A183" s="50" t="str">
        <f ca="1">IF(ISERROR(MATCH(B183,Код_КЦСР,0)),"",INDIRECT(ADDRESS(MATCH(B183,Код_КЦСР,0)+1,2,,,"КЦСР")))</f>
        <v>Осуществление выплат городских премий работникам муниципальных образовательных учреждений</v>
      </c>
      <c r="B183" s="79" t="s">
        <v>217</v>
      </c>
      <c r="C183" s="65"/>
      <c r="D183" s="46"/>
      <c r="E183" s="26"/>
      <c r="F183" s="62">
        <f t="shared" ref="F183:M185" si="31">F184</f>
        <v>325.5</v>
      </c>
      <c r="G183" s="62">
        <f t="shared" si="31"/>
        <v>0</v>
      </c>
      <c r="H183" s="49">
        <f t="shared" si="29"/>
        <v>325.5</v>
      </c>
      <c r="I183" s="62">
        <f t="shared" si="31"/>
        <v>0</v>
      </c>
      <c r="J183" s="49">
        <f t="shared" si="26"/>
        <v>325.5</v>
      </c>
      <c r="K183" s="62">
        <f t="shared" si="31"/>
        <v>0</v>
      </c>
      <c r="L183" s="49">
        <f t="shared" si="25"/>
        <v>325.5</v>
      </c>
      <c r="M183" s="62">
        <f t="shared" si="31"/>
        <v>0</v>
      </c>
      <c r="N183" s="49">
        <f t="shared" si="24"/>
        <v>325.5</v>
      </c>
    </row>
    <row r="184" spans="1:14" ht="33" x14ac:dyDescent="0.2">
      <c r="A184" s="50" t="str">
        <f ca="1">IF(ISERROR(MATCH(B184,Код_КЦСР,0)),"",INDIRECT(ADDRESS(MATCH(B184,Код_КЦСР,0)+1,2,,,"КЦСР")))</f>
        <v>Осуществление выплат городских премий работникам муниципальных образовательных учреждений, за счет средств городского бюджета</v>
      </c>
      <c r="B184" s="79" t="s">
        <v>219</v>
      </c>
      <c r="C184" s="65"/>
      <c r="D184" s="46"/>
      <c r="E184" s="26"/>
      <c r="F184" s="62">
        <f t="shared" si="31"/>
        <v>325.5</v>
      </c>
      <c r="G184" s="62">
        <f t="shared" si="31"/>
        <v>0</v>
      </c>
      <c r="H184" s="49">
        <f t="shared" si="29"/>
        <v>325.5</v>
      </c>
      <c r="I184" s="62">
        <f t="shared" si="31"/>
        <v>0</v>
      </c>
      <c r="J184" s="49">
        <f t="shared" si="26"/>
        <v>325.5</v>
      </c>
      <c r="K184" s="62">
        <f t="shared" si="31"/>
        <v>0</v>
      </c>
      <c r="L184" s="49">
        <f t="shared" si="25"/>
        <v>325.5</v>
      </c>
      <c r="M184" s="62">
        <f t="shared" si="31"/>
        <v>0</v>
      </c>
      <c r="N184" s="49">
        <f t="shared" si="24"/>
        <v>325.5</v>
      </c>
    </row>
    <row r="185" spans="1:14" ht="49.5" x14ac:dyDescent="0.2">
      <c r="A185" s="50" t="str">
        <f ca="1">IF(ISERROR(MATCH(B185,Код_КЦСР,0)),"",INDIRECT(ADDRESS(MATCH(B185,Код_КЦСР,0)+1,2,,,"КЦСР")))</f>
        <v>Городские премии имени И.А. Милютина в области образования в соответствии с постановлением Череповецкой городской Думы от 23.09.2003 № 120</v>
      </c>
      <c r="B185" s="79" t="s">
        <v>220</v>
      </c>
      <c r="C185" s="65"/>
      <c r="D185" s="46"/>
      <c r="E185" s="26"/>
      <c r="F185" s="62">
        <f t="shared" si="31"/>
        <v>325.5</v>
      </c>
      <c r="G185" s="62">
        <f t="shared" si="31"/>
        <v>0</v>
      </c>
      <c r="H185" s="49">
        <f t="shared" si="29"/>
        <v>325.5</v>
      </c>
      <c r="I185" s="62">
        <f t="shared" si="31"/>
        <v>0</v>
      </c>
      <c r="J185" s="49">
        <f t="shared" si="26"/>
        <v>325.5</v>
      </c>
      <c r="K185" s="62">
        <f t="shared" si="31"/>
        <v>0</v>
      </c>
      <c r="L185" s="49">
        <f t="shared" si="25"/>
        <v>325.5</v>
      </c>
      <c r="M185" s="62">
        <f t="shared" si="31"/>
        <v>0</v>
      </c>
      <c r="N185" s="49">
        <f t="shared" si="24"/>
        <v>325.5</v>
      </c>
    </row>
    <row r="186" spans="1:14" x14ac:dyDescent="0.2">
      <c r="A186" s="50" t="str">
        <f ca="1">IF(ISERROR(MATCH(C186,Код_Раздел,0)),"",INDIRECT(ADDRESS(MATCH(C186,Код_Раздел,0)+1,2,,,"Раздел")))</f>
        <v>Образование</v>
      </c>
      <c r="B186" s="79" t="s">
        <v>220</v>
      </c>
      <c r="C186" s="65" t="s">
        <v>60</v>
      </c>
      <c r="D186" s="46"/>
      <c r="E186" s="26"/>
      <c r="F186" s="62">
        <f>F187+F190</f>
        <v>325.5</v>
      </c>
      <c r="G186" s="62">
        <f>G187+G190</f>
        <v>0</v>
      </c>
      <c r="H186" s="49">
        <f t="shared" si="29"/>
        <v>325.5</v>
      </c>
      <c r="I186" s="62">
        <f>I187+I190</f>
        <v>0</v>
      </c>
      <c r="J186" s="49">
        <f t="shared" si="26"/>
        <v>325.5</v>
      </c>
      <c r="K186" s="62">
        <f>K187+K190</f>
        <v>0</v>
      </c>
      <c r="L186" s="49">
        <f t="shared" si="25"/>
        <v>325.5</v>
      </c>
      <c r="M186" s="62">
        <f>M187+M190</f>
        <v>0</v>
      </c>
      <c r="N186" s="49">
        <f t="shared" si="24"/>
        <v>325.5</v>
      </c>
    </row>
    <row r="187" spans="1:14" x14ac:dyDescent="0.2">
      <c r="A187" s="50" t="s">
        <v>109</v>
      </c>
      <c r="B187" s="79" t="s">
        <v>220</v>
      </c>
      <c r="C187" s="65" t="s">
        <v>60</v>
      </c>
      <c r="D187" s="46" t="s">
        <v>70</v>
      </c>
      <c r="E187" s="26"/>
      <c r="F187" s="62">
        <f t="shared" ref="F187:M187" si="32">F188</f>
        <v>130.19999999999999</v>
      </c>
      <c r="G187" s="62">
        <f t="shared" si="32"/>
        <v>0</v>
      </c>
      <c r="H187" s="49">
        <f t="shared" si="29"/>
        <v>130.19999999999999</v>
      </c>
      <c r="I187" s="62">
        <f t="shared" si="32"/>
        <v>0</v>
      </c>
      <c r="J187" s="49">
        <f t="shared" si="26"/>
        <v>130.19999999999999</v>
      </c>
      <c r="K187" s="62">
        <f t="shared" si="32"/>
        <v>0</v>
      </c>
      <c r="L187" s="49">
        <f t="shared" si="25"/>
        <v>130.19999999999999</v>
      </c>
      <c r="M187" s="62">
        <f t="shared" si="32"/>
        <v>0</v>
      </c>
      <c r="N187" s="49">
        <f t="shared" si="24"/>
        <v>130.19999999999999</v>
      </c>
    </row>
    <row r="188" spans="1:14" x14ac:dyDescent="0.2">
      <c r="A188" s="50" t="str">
        <f ca="1">IF(ISERROR(MATCH(E188,Код_КВР,0)),"",INDIRECT(ADDRESS(MATCH(E188,Код_КВР,0)+1,2,,,"КВР")))</f>
        <v>Социальное обеспечение и иные выплаты населению</v>
      </c>
      <c r="B188" s="79" t="s">
        <v>220</v>
      </c>
      <c r="C188" s="65" t="s">
        <v>60</v>
      </c>
      <c r="D188" s="46" t="s">
        <v>70</v>
      </c>
      <c r="E188" s="26">
        <v>300</v>
      </c>
      <c r="F188" s="62">
        <f>F189</f>
        <v>130.19999999999999</v>
      </c>
      <c r="G188" s="62">
        <f>G189</f>
        <v>0</v>
      </c>
      <c r="H188" s="49">
        <f t="shared" si="29"/>
        <v>130.19999999999999</v>
      </c>
      <c r="I188" s="62">
        <f>I189</f>
        <v>0</v>
      </c>
      <c r="J188" s="49">
        <f t="shared" si="26"/>
        <v>130.19999999999999</v>
      </c>
      <c r="K188" s="62">
        <f>K189</f>
        <v>0</v>
      </c>
      <c r="L188" s="49">
        <f t="shared" si="25"/>
        <v>130.19999999999999</v>
      </c>
      <c r="M188" s="62">
        <f>M189</f>
        <v>0</v>
      </c>
      <c r="N188" s="49">
        <f t="shared" si="24"/>
        <v>130.19999999999999</v>
      </c>
    </row>
    <row r="189" spans="1:14" x14ac:dyDescent="0.2">
      <c r="A189" s="50" t="str">
        <f ca="1">IF(ISERROR(MATCH(E189,Код_КВР,0)),"",INDIRECT(ADDRESS(MATCH(E189,Код_КВР,0)+1,2,,,"КВР")))</f>
        <v>Публичные нормативные выплаты гражданам несоциального характера</v>
      </c>
      <c r="B189" s="79" t="s">
        <v>220</v>
      </c>
      <c r="C189" s="65" t="s">
        <v>60</v>
      </c>
      <c r="D189" s="46" t="s">
        <v>70</v>
      </c>
      <c r="E189" s="26">
        <v>330</v>
      </c>
      <c r="F189" s="62">
        <f>'прил. 8'!G673</f>
        <v>130.19999999999999</v>
      </c>
      <c r="G189" s="62">
        <f>'прил. 8'!H673</f>
        <v>0</v>
      </c>
      <c r="H189" s="49">
        <f t="shared" si="29"/>
        <v>130.19999999999999</v>
      </c>
      <c r="I189" s="62">
        <f>'прил. 8'!J673</f>
        <v>0</v>
      </c>
      <c r="J189" s="49">
        <f t="shared" si="26"/>
        <v>130.19999999999999</v>
      </c>
      <c r="K189" s="62">
        <f>'прил. 8'!L673</f>
        <v>0</v>
      </c>
      <c r="L189" s="49">
        <f t="shared" si="25"/>
        <v>130.19999999999999</v>
      </c>
      <c r="M189" s="62">
        <f>'прил. 8'!N673</f>
        <v>0</v>
      </c>
      <c r="N189" s="49">
        <f t="shared" si="24"/>
        <v>130.19999999999999</v>
      </c>
    </row>
    <row r="190" spans="1:14" x14ac:dyDescent="0.2">
      <c r="A190" s="50" t="s">
        <v>102</v>
      </c>
      <c r="B190" s="79" t="s">
        <v>220</v>
      </c>
      <c r="C190" s="65" t="s">
        <v>60</v>
      </c>
      <c r="D190" s="46" t="s">
        <v>71</v>
      </c>
      <c r="E190" s="26"/>
      <c r="F190" s="62">
        <f t="shared" ref="F190:M191" si="33">F191</f>
        <v>195.3</v>
      </c>
      <c r="G190" s="62">
        <f t="shared" si="33"/>
        <v>0</v>
      </c>
      <c r="H190" s="49">
        <f t="shared" si="29"/>
        <v>195.3</v>
      </c>
      <c r="I190" s="62">
        <f t="shared" si="33"/>
        <v>0</v>
      </c>
      <c r="J190" s="49">
        <f t="shared" si="26"/>
        <v>195.3</v>
      </c>
      <c r="K190" s="62">
        <f t="shared" si="33"/>
        <v>0</v>
      </c>
      <c r="L190" s="49">
        <f t="shared" si="25"/>
        <v>195.3</v>
      </c>
      <c r="M190" s="62">
        <f t="shared" si="33"/>
        <v>0</v>
      </c>
      <c r="N190" s="49">
        <f t="shared" si="24"/>
        <v>195.3</v>
      </c>
    </row>
    <row r="191" spans="1:14" x14ac:dyDescent="0.2">
      <c r="A191" s="50" t="str">
        <f ca="1">IF(ISERROR(MATCH(E191,Код_КВР,0)),"",INDIRECT(ADDRESS(MATCH(E191,Код_КВР,0)+1,2,,,"КВР")))</f>
        <v>Социальное обеспечение и иные выплаты населению</v>
      </c>
      <c r="B191" s="79" t="s">
        <v>220</v>
      </c>
      <c r="C191" s="65" t="s">
        <v>60</v>
      </c>
      <c r="D191" s="46" t="s">
        <v>71</v>
      </c>
      <c r="E191" s="26">
        <v>300</v>
      </c>
      <c r="F191" s="62">
        <f t="shared" si="33"/>
        <v>195.3</v>
      </c>
      <c r="G191" s="62">
        <f t="shared" si="33"/>
        <v>0</v>
      </c>
      <c r="H191" s="49">
        <f t="shared" si="29"/>
        <v>195.3</v>
      </c>
      <c r="I191" s="62">
        <f t="shared" si="33"/>
        <v>0</v>
      </c>
      <c r="J191" s="49">
        <f t="shared" si="26"/>
        <v>195.3</v>
      </c>
      <c r="K191" s="62">
        <f t="shared" si="33"/>
        <v>0</v>
      </c>
      <c r="L191" s="49">
        <f t="shared" si="25"/>
        <v>195.3</v>
      </c>
      <c r="M191" s="62">
        <f t="shared" si="33"/>
        <v>0</v>
      </c>
      <c r="N191" s="49">
        <f t="shared" si="24"/>
        <v>195.3</v>
      </c>
    </row>
    <row r="192" spans="1:14" x14ac:dyDescent="0.2">
      <c r="A192" s="50" t="str">
        <f ca="1">IF(ISERROR(MATCH(E192,Код_КВР,0)),"",INDIRECT(ADDRESS(MATCH(E192,Код_КВР,0)+1,2,,,"КВР")))</f>
        <v>Публичные нормативные выплаты гражданам несоциального характера</v>
      </c>
      <c r="B192" s="79" t="s">
        <v>220</v>
      </c>
      <c r="C192" s="65" t="s">
        <v>60</v>
      </c>
      <c r="D192" s="46" t="s">
        <v>71</v>
      </c>
      <c r="E192" s="26">
        <v>330</v>
      </c>
      <c r="F192" s="62">
        <f>'прил. 8'!G747</f>
        <v>195.3</v>
      </c>
      <c r="G192" s="62">
        <f>'прил. 8'!H747</f>
        <v>0</v>
      </c>
      <c r="H192" s="49">
        <f t="shared" si="29"/>
        <v>195.3</v>
      </c>
      <c r="I192" s="62">
        <f>'прил. 8'!J747</f>
        <v>0</v>
      </c>
      <c r="J192" s="49">
        <f t="shared" si="26"/>
        <v>195.3</v>
      </c>
      <c r="K192" s="62">
        <f>'прил. 8'!L747</f>
        <v>0</v>
      </c>
      <c r="L192" s="49">
        <f t="shared" si="25"/>
        <v>195.3</v>
      </c>
      <c r="M192" s="62">
        <f>'прил. 8'!N747</f>
        <v>0</v>
      </c>
      <c r="N192" s="49">
        <f t="shared" si="24"/>
        <v>195.3</v>
      </c>
    </row>
    <row r="193" spans="1:14" ht="33" x14ac:dyDescent="0.2">
      <c r="A193" s="50" t="str">
        <f ca="1">IF(ISERROR(MATCH(B193,Код_КЦСР,0)),"",INDIRECT(ADDRESS(MATCH(B193,Код_КЦСР,0)+1,2,,,"КЦСР")))</f>
        <v>Осуществление денежных выплат работникам муниципальных образовательных учреждений</v>
      </c>
      <c r="B193" s="79" t="s">
        <v>221</v>
      </c>
      <c r="C193" s="65"/>
      <c r="D193" s="46"/>
      <c r="E193" s="26"/>
      <c r="F193" s="62">
        <f>F194</f>
        <v>59043</v>
      </c>
      <c r="G193" s="62">
        <f>G194</f>
        <v>0</v>
      </c>
      <c r="H193" s="49">
        <f t="shared" si="29"/>
        <v>59043</v>
      </c>
      <c r="I193" s="62">
        <f>I194</f>
        <v>0</v>
      </c>
      <c r="J193" s="49">
        <f t="shared" si="26"/>
        <v>59043</v>
      </c>
      <c r="K193" s="62">
        <f>K194</f>
        <v>0</v>
      </c>
      <c r="L193" s="49">
        <f t="shared" si="25"/>
        <v>59043</v>
      </c>
      <c r="M193" s="62">
        <f>M194</f>
        <v>-318.39999999999998</v>
      </c>
      <c r="N193" s="49">
        <f t="shared" si="24"/>
        <v>58724.6</v>
      </c>
    </row>
    <row r="194" spans="1:14" ht="33" x14ac:dyDescent="0.2">
      <c r="A194" s="50" t="str">
        <f ca="1">IF(ISERROR(MATCH(B194,Код_КЦСР,0)),"",INDIRECT(ADDRESS(MATCH(B194,Код_КЦСР,0)+1,2,,,"КЦСР")))</f>
        <v>Осуществление денежных выплат работникам муниципальных образовательных учреждений, за счет средств городского бюджета</v>
      </c>
      <c r="B194" s="79" t="s">
        <v>223</v>
      </c>
      <c r="C194" s="65"/>
      <c r="D194" s="46"/>
      <c r="E194" s="26"/>
      <c r="F194" s="62">
        <f>F195+F200+F205</f>
        <v>59043</v>
      </c>
      <c r="G194" s="62">
        <f>G195+G200+G205</f>
        <v>0</v>
      </c>
      <c r="H194" s="49">
        <f t="shared" si="29"/>
        <v>59043</v>
      </c>
      <c r="I194" s="62">
        <f>I195+I200+I205</f>
        <v>0</v>
      </c>
      <c r="J194" s="49">
        <f t="shared" si="26"/>
        <v>59043</v>
      </c>
      <c r="K194" s="62">
        <f>K195+K200+K205</f>
        <v>0</v>
      </c>
      <c r="L194" s="49">
        <f t="shared" si="25"/>
        <v>59043</v>
      </c>
      <c r="M194" s="62">
        <f>M195+M200+M205</f>
        <v>-318.39999999999998</v>
      </c>
      <c r="N194" s="49">
        <f t="shared" si="24"/>
        <v>58724.6</v>
      </c>
    </row>
    <row r="195" spans="1:14" ht="120.75" customHeight="1" x14ac:dyDescent="0.2">
      <c r="A195" s="50" t="str">
        <f ca="1">IF(ISERROR(MATCH(B195,Код_КЦСР,0)),"",INDIRECT(ADDRESS(MATCH(B195,Код_КЦСР,0)+1,2,,,"КЦСР")))</f>
        <v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реорганизации, в соответствии с решением Череповецкой городской Думы от 29.05.2012 № 97</v>
      </c>
      <c r="B195" s="79" t="s">
        <v>224</v>
      </c>
      <c r="C195" s="65"/>
      <c r="D195" s="46"/>
      <c r="E195" s="26"/>
      <c r="F195" s="62">
        <f t="shared" ref="F195:M198" si="34">F196</f>
        <v>8424</v>
      </c>
      <c r="G195" s="62">
        <f t="shared" si="34"/>
        <v>0</v>
      </c>
      <c r="H195" s="49">
        <f t="shared" si="29"/>
        <v>8424</v>
      </c>
      <c r="I195" s="62">
        <f t="shared" si="34"/>
        <v>0</v>
      </c>
      <c r="J195" s="49">
        <f t="shared" si="26"/>
        <v>8424</v>
      </c>
      <c r="K195" s="62">
        <f t="shared" si="34"/>
        <v>0</v>
      </c>
      <c r="L195" s="49">
        <f t="shared" si="25"/>
        <v>8424</v>
      </c>
      <c r="M195" s="62">
        <f t="shared" si="34"/>
        <v>-129</v>
      </c>
      <c r="N195" s="49">
        <f t="shared" si="24"/>
        <v>8295</v>
      </c>
    </row>
    <row r="196" spans="1:14" x14ac:dyDescent="0.2">
      <c r="A196" s="50" t="str">
        <f ca="1">IF(ISERROR(MATCH(C196,Код_Раздел,0)),"",INDIRECT(ADDRESS(MATCH(C196,Код_Раздел,0)+1,2,,,"Раздел")))</f>
        <v>Социальная политика</v>
      </c>
      <c r="B196" s="79" t="s">
        <v>224</v>
      </c>
      <c r="C196" s="65" t="s">
        <v>53</v>
      </c>
      <c r="D196" s="46"/>
      <c r="E196" s="26"/>
      <c r="F196" s="62">
        <f t="shared" si="34"/>
        <v>8424</v>
      </c>
      <c r="G196" s="62">
        <f t="shared" si="34"/>
        <v>0</v>
      </c>
      <c r="H196" s="49">
        <f t="shared" si="29"/>
        <v>8424</v>
      </c>
      <c r="I196" s="62">
        <f t="shared" si="34"/>
        <v>0</v>
      </c>
      <c r="J196" s="49">
        <f t="shared" si="26"/>
        <v>8424</v>
      </c>
      <c r="K196" s="62">
        <f t="shared" si="34"/>
        <v>0</v>
      </c>
      <c r="L196" s="49">
        <f t="shared" si="25"/>
        <v>8424</v>
      </c>
      <c r="M196" s="62">
        <f t="shared" si="34"/>
        <v>-129</v>
      </c>
      <c r="N196" s="49">
        <f t="shared" si="24"/>
        <v>8295</v>
      </c>
    </row>
    <row r="197" spans="1:14" x14ac:dyDescent="0.2">
      <c r="A197" s="45" t="s">
        <v>44</v>
      </c>
      <c r="B197" s="79" t="s">
        <v>224</v>
      </c>
      <c r="C197" s="65" t="s">
        <v>53</v>
      </c>
      <c r="D197" s="46" t="s">
        <v>72</v>
      </c>
      <c r="E197" s="26"/>
      <c r="F197" s="62">
        <f t="shared" si="34"/>
        <v>8424</v>
      </c>
      <c r="G197" s="62">
        <f t="shared" si="34"/>
        <v>0</v>
      </c>
      <c r="H197" s="49">
        <f t="shared" si="29"/>
        <v>8424</v>
      </c>
      <c r="I197" s="62">
        <f t="shared" si="34"/>
        <v>0</v>
      </c>
      <c r="J197" s="49">
        <f t="shared" si="26"/>
        <v>8424</v>
      </c>
      <c r="K197" s="62">
        <f t="shared" si="34"/>
        <v>0</v>
      </c>
      <c r="L197" s="49">
        <f t="shared" si="25"/>
        <v>8424</v>
      </c>
      <c r="M197" s="62">
        <f t="shared" si="34"/>
        <v>-129</v>
      </c>
      <c r="N197" s="49">
        <f t="shared" si="24"/>
        <v>8295</v>
      </c>
    </row>
    <row r="198" spans="1:14" x14ac:dyDescent="0.2">
      <c r="A198" s="50" t="str">
        <f ca="1">IF(ISERROR(MATCH(E198,Код_КВР,0)),"",INDIRECT(ADDRESS(MATCH(E198,Код_КВР,0)+1,2,,,"КВР")))</f>
        <v>Социальное обеспечение и иные выплаты населению</v>
      </c>
      <c r="B198" s="79" t="s">
        <v>224</v>
      </c>
      <c r="C198" s="65" t="s">
        <v>53</v>
      </c>
      <c r="D198" s="46" t="s">
        <v>72</v>
      </c>
      <c r="E198" s="26">
        <v>300</v>
      </c>
      <c r="F198" s="62">
        <f t="shared" si="34"/>
        <v>8424</v>
      </c>
      <c r="G198" s="62">
        <f t="shared" si="34"/>
        <v>0</v>
      </c>
      <c r="H198" s="49">
        <f t="shared" si="29"/>
        <v>8424</v>
      </c>
      <c r="I198" s="62">
        <f t="shared" si="34"/>
        <v>0</v>
      </c>
      <c r="J198" s="49">
        <f t="shared" si="26"/>
        <v>8424</v>
      </c>
      <c r="K198" s="62">
        <f t="shared" si="34"/>
        <v>0</v>
      </c>
      <c r="L198" s="49">
        <f t="shared" si="25"/>
        <v>8424</v>
      </c>
      <c r="M198" s="62">
        <f t="shared" si="34"/>
        <v>-129</v>
      </c>
      <c r="N198" s="49">
        <f t="shared" si="24"/>
        <v>8295</v>
      </c>
    </row>
    <row r="199" spans="1:14" x14ac:dyDescent="0.2">
      <c r="A199" s="50" t="str">
        <f ca="1">IF(ISERROR(MATCH(E199,Код_КВР,0)),"",INDIRECT(ADDRESS(MATCH(E199,Код_КВР,0)+1,2,,,"КВР")))</f>
        <v>Публичные нормативные социальные выплаты гражданам</v>
      </c>
      <c r="B199" s="79" t="s">
        <v>224</v>
      </c>
      <c r="C199" s="65" t="s">
        <v>53</v>
      </c>
      <c r="D199" s="46" t="s">
        <v>72</v>
      </c>
      <c r="E199" s="26">
        <v>310</v>
      </c>
      <c r="F199" s="62">
        <f>'прил. 8'!G872</f>
        <v>8424</v>
      </c>
      <c r="G199" s="62">
        <f>'прил. 8'!H872</f>
        <v>0</v>
      </c>
      <c r="H199" s="49">
        <f t="shared" si="29"/>
        <v>8424</v>
      </c>
      <c r="I199" s="62">
        <f>'прил. 8'!J872</f>
        <v>0</v>
      </c>
      <c r="J199" s="49">
        <f t="shared" si="26"/>
        <v>8424</v>
      </c>
      <c r="K199" s="62">
        <f>'прил. 8'!L872</f>
        <v>0</v>
      </c>
      <c r="L199" s="49">
        <f t="shared" si="25"/>
        <v>8424</v>
      </c>
      <c r="M199" s="62">
        <f>'прил. 8'!N872</f>
        <v>-129</v>
      </c>
      <c r="N199" s="49">
        <f t="shared" si="24"/>
        <v>8295</v>
      </c>
    </row>
    <row r="200" spans="1:14" ht="88.5" customHeight="1" x14ac:dyDescent="0.2">
      <c r="A200" s="50" t="str">
        <f ca="1">IF(ISERROR(MATCH(B200,Код_КЦСР,0)),"",INDIRECT(ADDRESS(MATCH(B200,Код_КЦСР,0)+1,2,,,"КЦСР")))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и дошкольных групп муниципальных общеобразовательных учреждений, образованных в результате реорганизации, в соответствии с решением Череповецкой городской Думы от 29.05.2012 № 94</v>
      </c>
      <c r="B200" s="79" t="s">
        <v>225</v>
      </c>
      <c r="C200" s="65"/>
      <c r="D200" s="46"/>
      <c r="E200" s="26"/>
      <c r="F200" s="62">
        <f>F201</f>
        <v>29177.200000000001</v>
      </c>
      <c r="G200" s="62">
        <f>G201</f>
        <v>0</v>
      </c>
      <c r="H200" s="49">
        <f t="shared" si="29"/>
        <v>29177.200000000001</v>
      </c>
      <c r="I200" s="62">
        <f>I201</f>
        <v>0</v>
      </c>
      <c r="J200" s="49">
        <f t="shared" si="26"/>
        <v>29177.200000000001</v>
      </c>
      <c r="K200" s="62">
        <f>K201</f>
        <v>0</v>
      </c>
      <c r="L200" s="49">
        <f t="shared" si="25"/>
        <v>29177.200000000001</v>
      </c>
      <c r="M200" s="62">
        <f>M201</f>
        <v>-189.4</v>
      </c>
      <c r="N200" s="49">
        <f t="shared" si="24"/>
        <v>28987.8</v>
      </c>
    </row>
    <row r="201" spans="1:14" x14ac:dyDescent="0.2">
      <c r="A201" s="50" t="str">
        <f ca="1">IF(ISERROR(MATCH(C201,Код_Раздел,0)),"",INDIRECT(ADDRESS(MATCH(C201,Код_Раздел,0)+1,2,,,"Раздел")))</f>
        <v>Социальная политика</v>
      </c>
      <c r="B201" s="79" t="s">
        <v>225</v>
      </c>
      <c r="C201" s="65" t="s">
        <v>53</v>
      </c>
      <c r="D201" s="46"/>
      <c r="E201" s="26"/>
      <c r="F201" s="62">
        <f t="shared" ref="F201:M203" si="35">F202</f>
        <v>29177.200000000001</v>
      </c>
      <c r="G201" s="62">
        <f t="shared" si="35"/>
        <v>0</v>
      </c>
      <c r="H201" s="49">
        <f t="shared" si="29"/>
        <v>29177.200000000001</v>
      </c>
      <c r="I201" s="62">
        <f t="shared" si="35"/>
        <v>0</v>
      </c>
      <c r="J201" s="49">
        <f t="shared" si="26"/>
        <v>29177.200000000001</v>
      </c>
      <c r="K201" s="62">
        <f t="shared" si="35"/>
        <v>0</v>
      </c>
      <c r="L201" s="49">
        <f t="shared" si="25"/>
        <v>29177.200000000001</v>
      </c>
      <c r="M201" s="62">
        <f t="shared" si="35"/>
        <v>-189.4</v>
      </c>
      <c r="N201" s="49">
        <f t="shared" si="24"/>
        <v>28987.8</v>
      </c>
    </row>
    <row r="202" spans="1:14" x14ac:dyDescent="0.2">
      <c r="A202" s="45" t="s">
        <v>44</v>
      </c>
      <c r="B202" s="79" t="s">
        <v>225</v>
      </c>
      <c r="C202" s="65" t="s">
        <v>53</v>
      </c>
      <c r="D202" s="46" t="s">
        <v>72</v>
      </c>
      <c r="E202" s="26"/>
      <c r="F202" s="62">
        <f t="shared" si="35"/>
        <v>29177.200000000001</v>
      </c>
      <c r="G202" s="62">
        <f t="shared" si="35"/>
        <v>0</v>
      </c>
      <c r="H202" s="49">
        <f t="shared" si="29"/>
        <v>29177.200000000001</v>
      </c>
      <c r="I202" s="62">
        <f t="shared" si="35"/>
        <v>0</v>
      </c>
      <c r="J202" s="49">
        <f t="shared" si="26"/>
        <v>29177.200000000001</v>
      </c>
      <c r="K202" s="62">
        <f t="shared" si="35"/>
        <v>0</v>
      </c>
      <c r="L202" s="49">
        <f t="shared" si="25"/>
        <v>29177.200000000001</v>
      </c>
      <c r="M202" s="62">
        <f t="shared" si="35"/>
        <v>-189.4</v>
      </c>
      <c r="N202" s="49">
        <f t="shared" si="24"/>
        <v>28987.8</v>
      </c>
    </row>
    <row r="203" spans="1:14" x14ac:dyDescent="0.2">
      <c r="A203" s="50" t="str">
        <f ca="1">IF(ISERROR(MATCH(E203,Код_КВР,0)),"",INDIRECT(ADDRESS(MATCH(E203,Код_КВР,0)+1,2,,,"КВР")))</f>
        <v>Социальное обеспечение и иные выплаты населению</v>
      </c>
      <c r="B203" s="79" t="s">
        <v>225</v>
      </c>
      <c r="C203" s="65" t="s">
        <v>53</v>
      </c>
      <c r="D203" s="46" t="s">
        <v>72</v>
      </c>
      <c r="E203" s="26">
        <v>300</v>
      </c>
      <c r="F203" s="62">
        <f t="shared" si="35"/>
        <v>29177.200000000001</v>
      </c>
      <c r="G203" s="62">
        <f t="shared" si="35"/>
        <v>0</v>
      </c>
      <c r="H203" s="49">
        <f t="shared" si="29"/>
        <v>29177.200000000001</v>
      </c>
      <c r="I203" s="62">
        <f t="shared" si="35"/>
        <v>0</v>
      </c>
      <c r="J203" s="49">
        <f t="shared" si="26"/>
        <v>29177.200000000001</v>
      </c>
      <c r="K203" s="62">
        <f t="shared" si="35"/>
        <v>0</v>
      </c>
      <c r="L203" s="49">
        <f t="shared" si="25"/>
        <v>29177.200000000001</v>
      </c>
      <c r="M203" s="62">
        <f t="shared" si="35"/>
        <v>-189.4</v>
      </c>
      <c r="N203" s="49">
        <f t="shared" si="24"/>
        <v>28987.8</v>
      </c>
    </row>
    <row r="204" spans="1:14" x14ac:dyDescent="0.2">
      <c r="A204" s="50" t="str">
        <f ca="1">IF(ISERROR(MATCH(E204,Код_КВР,0)),"",INDIRECT(ADDRESS(MATCH(E204,Код_КВР,0)+1,2,,,"КВР")))</f>
        <v>Публичные нормативные социальные выплаты гражданам</v>
      </c>
      <c r="B204" s="79" t="s">
        <v>225</v>
      </c>
      <c r="C204" s="65" t="s">
        <v>53</v>
      </c>
      <c r="D204" s="46" t="s">
        <v>72</v>
      </c>
      <c r="E204" s="26">
        <v>310</v>
      </c>
      <c r="F204" s="62">
        <f>'прил. 8'!G875</f>
        <v>29177.200000000001</v>
      </c>
      <c r="G204" s="62">
        <f>'прил. 8'!H875</f>
        <v>0</v>
      </c>
      <c r="H204" s="49">
        <f t="shared" si="29"/>
        <v>29177.200000000001</v>
      </c>
      <c r="I204" s="62">
        <f>'прил. 8'!J875</f>
        <v>0</v>
      </c>
      <c r="J204" s="49">
        <f t="shared" si="26"/>
        <v>29177.200000000001</v>
      </c>
      <c r="K204" s="62">
        <f>'прил. 8'!L875</f>
        <v>0</v>
      </c>
      <c r="L204" s="49">
        <f t="shared" si="25"/>
        <v>29177.200000000001</v>
      </c>
      <c r="M204" s="62">
        <f>'прил. 8'!N875</f>
        <v>-189.4</v>
      </c>
      <c r="N204" s="49">
        <f t="shared" si="24"/>
        <v>28987.8</v>
      </c>
    </row>
    <row r="205" spans="1:14" ht="104.25" customHeight="1" x14ac:dyDescent="0.2">
      <c r="A205" s="50" t="str">
        <f ca="1">IF(ISERROR(MATCH(B205,Код_КЦСР,0)),"",INDIRECT(ADDRESS(MATCH(B205,Код_КЦСР,0)+1,2,,,"КЦСР")))</f>
        <v>Компенсация части родительской платы штатным работникам за присмотр и уход за детьми в муниципальных дошкольных образовательных учреждениях города и дошкольных группах муниципальных общеобразовательных учреждений города, образованных в результате реорганизации, в соответствии с решением Череповецкой городской Думы от 30.10.2012 № 203</v>
      </c>
      <c r="B205" s="79" t="s">
        <v>226</v>
      </c>
      <c r="C205" s="65"/>
      <c r="D205" s="46"/>
      <c r="E205" s="26"/>
      <c r="F205" s="62">
        <f t="shared" ref="F205:M208" si="36">F206</f>
        <v>21441.8</v>
      </c>
      <c r="G205" s="62">
        <f t="shared" si="36"/>
        <v>0</v>
      </c>
      <c r="H205" s="49">
        <f t="shared" si="29"/>
        <v>21441.8</v>
      </c>
      <c r="I205" s="62">
        <f t="shared" si="36"/>
        <v>0</v>
      </c>
      <c r="J205" s="49">
        <f t="shared" si="26"/>
        <v>21441.8</v>
      </c>
      <c r="K205" s="62">
        <f t="shared" si="36"/>
        <v>0</v>
      </c>
      <c r="L205" s="49">
        <f t="shared" si="25"/>
        <v>21441.8</v>
      </c>
      <c r="M205" s="62">
        <f t="shared" si="36"/>
        <v>0</v>
      </c>
      <c r="N205" s="49">
        <f t="shared" si="24"/>
        <v>21441.8</v>
      </c>
    </row>
    <row r="206" spans="1:14" x14ac:dyDescent="0.2">
      <c r="A206" s="50" t="str">
        <f ca="1">IF(ISERROR(MATCH(C206,Код_Раздел,0)),"",INDIRECT(ADDRESS(MATCH(C206,Код_Раздел,0)+1,2,,,"Раздел")))</f>
        <v>Социальная политика</v>
      </c>
      <c r="B206" s="79" t="s">
        <v>226</v>
      </c>
      <c r="C206" s="65" t="s">
        <v>53</v>
      </c>
      <c r="D206" s="46"/>
      <c r="E206" s="26"/>
      <c r="F206" s="62">
        <f t="shared" si="36"/>
        <v>21441.8</v>
      </c>
      <c r="G206" s="62">
        <f t="shared" si="36"/>
        <v>0</v>
      </c>
      <c r="H206" s="49">
        <f t="shared" si="29"/>
        <v>21441.8</v>
      </c>
      <c r="I206" s="62">
        <f t="shared" si="36"/>
        <v>0</v>
      </c>
      <c r="J206" s="49">
        <f t="shared" si="26"/>
        <v>21441.8</v>
      </c>
      <c r="K206" s="62">
        <f t="shared" si="36"/>
        <v>0</v>
      </c>
      <c r="L206" s="49">
        <f t="shared" si="25"/>
        <v>21441.8</v>
      </c>
      <c r="M206" s="62">
        <f t="shared" si="36"/>
        <v>0</v>
      </c>
      <c r="N206" s="49">
        <f t="shared" si="24"/>
        <v>21441.8</v>
      </c>
    </row>
    <row r="207" spans="1:14" x14ac:dyDescent="0.2">
      <c r="A207" s="45" t="s">
        <v>66</v>
      </c>
      <c r="B207" s="79" t="s">
        <v>226</v>
      </c>
      <c r="C207" s="65" t="s">
        <v>53</v>
      </c>
      <c r="D207" s="46" t="s">
        <v>73</v>
      </c>
      <c r="E207" s="26"/>
      <c r="F207" s="62">
        <f t="shared" si="36"/>
        <v>21441.8</v>
      </c>
      <c r="G207" s="62">
        <f t="shared" si="36"/>
        <v>0</v>
      </c>
      <c r="H207" s="49">
        <f t="shared" si="29"/>
        <v>21441.8</v>
      </c>
      <c r="I207" s="62">
        <f t="shared" si="36"/>
        <v>0</v>
      </c>
      <c r="J207" s="49">
        <f t="shared" si="26"/>
        <v>21441.8</v>
      </c>
      <c r="K207" s="62">
        <f t="shared" si="36"/>
        <v>0</v>
      </c>
      <c r="L207" s="49">
        <f t="shared" si="25"/>
        <v>21441.8</v>
      </c>
      <c r="M207" s="62">
        <f t="shared" si="36"/>
        <v>0</v>
      </c>
      <c r="N207" s="49">
        <f t="shared" si="24"/>
        <v>21441.8</v>
      </c>
    </row>
    <row r="208" spans="1:14" x14ac:dyDescent="0.2">
      <c r="A208" s="50" t="str">
        <f ca="1">IF(ISERROR(MATCH(E208,Код_КВР,0)),"",INDIRECT(ADDRESS(MATCH(E208,Код_КВР,0)+1,2,,,"КВР")))</f>
        <v>Социальное обеспечение и иные выплаты населению</v>
      </c>
      <c r="B208" s="79" t="s">
        <v>226</v>
      </c>
      <c r="C208" s="65" t="s">
        <v>53</v>
      </c>
      <c r="D208" s="46" t="s">
        <v>73</v>
      </c>
      <c r="E208" s="26">
        <v>300</v>
      </c>
      <c r="F208" s="62">
        <f t="shared" si="36"/>
        <v>21441.8</v>
      </c>
      <c r="G208" s="62">
        <f t="shared" si="36"/>
        <v>0</v>
      </c>
      <c r="H208" s="49">
        <f t="shared" si="29"/>
        <v>21441.8</v>
      </c>
      <c r="I208" s="62">
        <f t="shared" si="36"/>
        <v>0</v>
      </c>
      <c r="J208" s="49">
        <f t="shared" si="26"/>
        <v>21441.8</v>
      </c>
      <c r="K208" s="62">
        <f t="shared" si="36"/>
        <v>0</v>
      </c>
      <c r="L208" s="49">
        <f t="shared" si="25"/>
        <v>21441.8</v>
      </c>
      <c r="M208" s="62">
        <f t="shared" si="36"/>
        <v>0</v>
      </c>
      <c r="N208" s="49">
        <f t="shared" si="24"/>
        <v>21441.8</v>
      </c>
    </row>
    <row r="209" spans="1:14" x14ac:dyDescent="0.2">
      <c r="A209" s="50" t="str">
        <f ca="1">IF(ISERROR(MATCH(E209,Код_КВР,0)),"",INDIRECT(ADDRESS(MATCH(E209,Код_КВР,0)+1,2,,,"КВР")))</f>
        <v>Публичные нормативные социальные выплаты гражданам</v>
      </c>
      <c r="B209" s="79" t="s">
        <v>226</v>
      </c>
      <c r="C209" s="65" t="s">
        <v>53</v>
      </c>
      <c r="D209" s="46" t="s">
        <v>73</v>
      </c>
      <c r="E209" s="26">
        <v>310</v>
      </c>
      <c r="F209" s="62">
        <f>'прил. 8'!G893</f>
        <v>21441.8</v>
      </c>
      <c r="G209" s="62">
        <f>'прил. 8'!H893</f>
        <v>0</v>
      </c>
      <c r="H209" s="49">
        <f t="shared" si="29"/>
        <v>21441.8</v>
      </c>
      <c r="I209" s="62">
        <f>'прил. 8'!J893</f>
        <v>0</v>
      </c>
      <c r="J209" s="49">
        <f t="shared" si="26"/>
        <v>21441.8</v>
      </c>
      <c r="K209" s="62">
        <f>'прил. 8'!L893</f>
        <v>0</v>
      </c>
      <c r="L209" s="49">
        <f t="shared" si="25"/>
        <v>21441.8</v>
      </c>
      <c r="M209" s="62">
        <f>'прил. 8'!N893</f>
        <v>0</v>
      </c>
      <c r="N209" s="49">
        <f t="shared" si="24"/>
        <v>21441.8</v>
      </c>
    </row>
    <row r="210" spans="1:14" ht="41.25" customHeight="1" x14ac:dyDescent="0.2">
      <c r="A210" s="50" t="str">
        <f ca="1">IF(ISERROR(MATCH(B210,Код_КЦСР,0)),"",INDIRECT(ADDRESS(MATCH(B210,Код_КЦСР,0)+1,2,,,"КЦСР")))</f>
        <v>Представление лучших педагогов сферы образования к поощрению наградами всех уровней</v>
      </c>
      <c r="B210" s="79" t="s">
        <v>227</v>
      </c>
      <c r="C210" s="65"/>
      <c r="D210" s="46"/>
      <c r="E210" s="26"/>
      <c r="F210" s="62">
        <f t="shared" ref="F210:M215" si="37">F211</f>
        <v>32.6</v>
      </c>
      <c r="G210" s="62">
        <f t="shared" si="37"/>
        <v>0</v>
      </c>
      <c r="H210" s="49">
        <f t="shared" si="29"/>
        <v>32.6</v>
      </c>
      <c r="I210" s="62">
        <f t="shared" si="37"/>
        <v>0</v>
      </c>
      <c r="J210" s="49">
        <f t="shared" si="26"/>
        <v>32.6</v>
      </c>
      <c r="K210" s="62">
        <f t="shared" si="37"/>
        <v>0</v>
      </c>
      <c r="L210" s="49">
        <f t="shared" si="25"/>
        <v>32.6</v>
      </c>
      <c r="M210" s="62">
        <f t="shared" si="37"/>
        <v>0</v>
      </c>
      <c r="N210" s="49">
        <f t="shared" ref="N210:N273" si="38">L210+M210</f>
        <v>32.6</v>
      </c>
    </row>
    <row r="211" spans="1:14" ht="41.25" customHeight="1" x14ac:dyDescent="0.2">
      <c r="A211" s="50" t="str">
        <f ca="1">IF(ISERROR(MATCH(B211,Код_КЦСР,0)),"",INDIRECT(ADDRESS(MATCH(B211,Код_КЦСР,0)+1,2,,,"КЦСР")))</f>
        <v>Представление лучших педагогов сферы образования к поощрению наградами всех уровней, за счет средств городского бюджета</v>
      </c>
      <c r="B211" s="79" t="s">
        <v>229</v>
      </c>
      <c r="C211" s="65"/>
      <c r="D211" s="46"/>
      <c r="E211" s="26"/>
      <c r="F211" s="62">
        <f t="shared" si="37"/>
        <v>32.6</v>
      </c>
      <c r="G211" s="62">
        <f t="shared" si="37"/>
        <v>0</v>
      </c>
      <c r="H211" s="49">
        <f t="shared" si="29"/>
        <v>32.6</v>
      </c>
      <c r="I211" s="62">
        <f t="shared" si="37"/>
        <v>0</v>
      </c>
      <c r="J211" s="49">
        <f t="shared" si="26"/>
        <v>32.6</v>
      </c>
      <c r="K211" s="62">
        <f t="shared" si="37"/>
        <v>0</v>
      </c>
      <c r="L211" s="49">
        <f t="shared" si="25"/>
        <v>32.6</v>
      </c>
      <c r="M211" s="62">
        <f t="shared" si="37"/>
        <v>0</v>
      </c>
      <c r="N211" s="49">
        <f t="shared" si="38"/>
        <v>32.6</v>
      </c>
    </row>
    <row r="212" spans="1:14" ht="55.5" customHeight="1" x14ac:dyDescent="0.2">
      <c r="A212" s="50" t="str">
        <f ca="1">IF(ISERROR(MATCH(B212,Код_КЦСР,0)),"",INDIRECT(ADDRESS(MATCH(B212,Код_КЦСР,0)+1,2,,,"КЦСР")))</f>
        <v>Премии победителям конкурса профессионального мастерства «Учитель года» в соответствии с решением Череповецкой городской Думы от 29.06.2010 № 128</v>
      </c>
      <c r="B212" s="79" t="s">
        <v>230</v>
      </c>
      <c r="C212" s="65"/>
      <c r="D212" s="46"/>
      <c r="E212" s="26"/>
      <c r="F212" s="62">
        <f t="shared" si="37"/>
        <v>32.6</v>
      </c>
      <c r="G212" s="62">
        <f t="shared" si="37"/>
        <v>0</v>
      </c>
      <c r="H212" s="49">
        <f t="shared" si="29"/>
        <v>32.6</v>
      </c>
      <c r="I212" s="62">
        <f t="shared" si="37"/>
        <v>0</v>
      </c>
      <c r="J212" s="49">
        <f t="shared" si="26"/>
        <v>32.6</v>
      </c>
      <c r="K212" s="62">
        <f t="shared" si="37"/>
        <v>0</v>
      </c>
      <c r="L212" s="49">
        <f t="shared" si="25"/>
        <v>32.6</v>
      </c>
      <c r="M212" s="62">
        <f t="shared" si="37"/>
        <v>0</v>
      </c>
      <c r="N212" s="49">
        <f t="shared" si="38"/>
        <v>32.6</v>
      </c>
    </row>
    <row r="213" spans="1:14" x14ac:dyDescent="0.2">
      <c r="A213" s="50" t="str">
        <f ca="1">IF(ISERROR(MATCH(C213,Код_Раздел,0)),"",INDIRECT(ADDRESS(MATCH(C213,Код_Раздел,0)+1,2,,,"Раздел")))</f>
        <v>Образование</v>
      </c>
      <c r="B213" s="79" t="s">
        <v>230</v>
      </c>
      <c r="C213" s="65" t="s">
        <v>60</v>
      </c>
      <c r="D213" s="46"/>
      <c r="E213" s="26"/>
      <c r="F213" s="62">
        <f t="shared" si="37"/>
        <v>32.6</v>
      </c>
      <c r="G213" s="62">
        <f t="shared" si="37"/>
        <v>0</v>
      </c>
      <c r="H213" s="49">
        <f t="shared" si="29"/>
        <v>32.6</v>
      </c>
      <c r="I213" s="62">
        <f t="shared" si="37"/>
        <v>0</v>
      </c>
      <c r="J213" s="49">
        <f t="shared" si="26"/>
        <v>32.6</v>
      </c>
      <c r="K213" s="62">
        <f t="shared" si="37"/>
        <v>0</v>
      </c>
      <c r="L213" s="49">
        <f t="shared" ref="L213:L296" si="39">J213+K213</f>
        <v>32.6</v>
      </c>
      <c r="M213" s="62">
        <f t="shared" si="37"/>
        <v>0</v>
      </c>
      <c r="N213" s="49">
        <f t="shared" si="38"/>
        <v>32.6</v>
      </c>
    </row>
    <row r="214" spans="1:14" x14ac:dyDescent="0.2">
      <c r="A214" s="50" t="s">
        <v>102</v>
      </c>
      <c r="B214" s="79" t="s">
        <v>230</v>
      </c>
      <c r="C214" s="65" t="s">
        <v>60</v>
      </c>
      <c r="D214" s="46" t="s">
        <v>71</v>
      </c>
      <c r="E214" s="26"/>
      <c r="F214" s="62">
        <f t="shared" si="37"/>
        <v>32.6</v>
      </c>
      <c r="G214" s="62">
        <f t="shared" si="37"/>
        <v>0</v>
      </c>
      <c r="H214" s="49">
        <f t="shared" si="29"/>
        <v>32.6</v>
      </c>
      <c r="I214" s="62">
        <f t="shared" si="37"/>
        <v>0</v>
      </c>
      <c r="J214" s="49">
        <f t="shared" ref="J214:J297" si="40">H214+I214</f>
        <v>32.6</v>
      </c>
      <c r="K214" s="62">
        <f t="shared" si="37"/>
        <v>0</v>
      </c>
      <c r="L214" s="49">
        <f t="shared" si="39"/>
        <v>32.6</v>
      </c>
      <c r="M214" s="62">
        <f t="shared" si="37"/>
        <v>0</v>
      </c>
      <c r="N214" s="49">
        <f t="shared" si="38"/>
        <v>32.6</v>
      </c>
    </row>
    <row r="215" spans="1:14" x14ac:dyDescent="0.2">
      <c r="A215" s="50" t="str">
        <f ca="1">IF(ISERROR(MATCH(E215,Код_КВР,0)),"",INDIRECT(ADDRESS(MATCH(E215,Код_КВР,0)+1,2,,,"КВР")))</f>
        <v>Социальное обеспечение и иные выплаты населению</v>
      </c>
      <c r="B215" s="79" t="s">
        <v>230</v>
      </c>
      <c r="C215" s="65" t="s">
        <v>60</v>
      </c>
      <c r="D215" s="46" t="s">
        <v>71</v>
      </c>
      <c r="E215" s="26">
        <v>300</v>
      </c>
      <c r="F215" s="62">
        <f t="shared" si="37"/>
        <v>32.6</v>
      </c>
      <c r="G215" s="62">
        <f t="shared" si="37"/>
        <v>0</v>
      </c>
      <c r="H215" s="49">
        <f t="shared" si="29"/>
        <v>32.6</v>
      </c>
      <c r="I215" s="62">
        <f t="shared" si="37"/>
        <v>0</v>
      </c>
      <c r="J215" s="49">
        <f t="shared" si="40"/>
        <v>32.6</v>
      </c>
      <c r="K215" s="62">
        <f t="shared" si="37"/>
        <v>0</v>
      </c>
      <c r="L215" s="49">
        <f t="shared" si="39"/>
        <v>32.6</v>
      </c>
      <c r="M215" s="62">
        <f t="shared" si="37"/>
        <v>0</v>
      </c>
      <c r="N215" s="49">
        <f t="shared" si="38"/>
        <v>32.6</v>
      </c>
    </row>
    <row r="216" spans="1:14" x14ac:dyDescent="0.2">
      <c r="A216" s="50" t="str">
        <f ca="1">IF(ISERROR(MATCH(E216,Код_КВР,0)),"",INDIRECT(ADDRESS(MATCH(E216,Код_КВР,0)+1,2,,,"КВР")))</f>
        <v>Публичные нормативные выплаты гражданам несоциального характера</v>
      </c>
      <c r="B216" s="79" t="s">
        <v>230</v>
      </c>
      <c r="C216" s="65" t="s">
        <v>60</v>
      </c>
      <c r="D216" s="46" t="s">
        <v>71</v>
      </c>
      <c r="E216" s="26">
        <v>330</v>
      </c>
      <c r="F216" s="62">
        <f>'прил. 8'!G752</f>
        <v>32.6</v>
      </c>
      <c r="G216" s="62">
        <f>'прил. 8'!H752</f>
        <v>0</v>
      </c>
      <c r="H216" s="49">
        <f t="shared" si="29"/>
        <v>32.6</v>
      </c>
      <c r="I216" s="62">
        <f>'прил. 8'!J752</f>
        <v>0</v>
      </c>
      <c r="J216" s="49">
        <f t="shared" si="40"/>
        <v>32.6</v>
      </c>
      <c r="K216" s="62">
        <f>'прил. 8'!L752</f>
        <v>0</v>
      </c>
      <c r="L216" s="49">
        <f t="shared" si="39"/>
        <v>32.6</v>
      </c>
      <c r="M216" s="62">
        <f>'прил. 8'!N752</f>
        <v>0</v>
      </c>
      <c r="N216" s="49">
        <f t="shared" si="38"/>
        <v>32.6</v>
      </c>
    </row>
    <row r="217" spans="1:14" ht="33" x14ac:dyDescent="0.2">
      <c r="A217" s="50" t="str">
        <f ca="1">IF(ISERROR(MATCH(B217,Код_КЦСР,0)),"",INDIRECT(ADDRESS(MATCH(B217,Код_КЦСР,0)+1,2,,,"КЦСР")))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217" s="79" t="s">
        <v>231</v>
      </c>
      <c r="C217" s="65"/>
      <c r="D217" s="46"/>
      <c r="E217" s="26"/>
      <c r="F217" s="62">
        <f>F218+F230+F238</f>
        <v>19041.5</v>
      </c>
      <c r="G217" s="62">
        <f>G218+G230+G238</f>
        <v>0</v>
      </c>
      <c r="H217" s="49">
        <f t="shared" si="29"/>
        <v>19041.5</v>
      </c>
      <c r="I217" s="62">
        <f>I218+I230+I238</f>
        <v>-800</v>
      </c>
      <c r="J217" s="49">
        <f t="shared" si="40"/>
        <v>18241.5</v>
      </c>
      <c r="K217" s="62">
        <f>K218+K230+K238</f>
        <v>643.5</v>
      </c>
      <c r="L217" s="49">
        <f t="shared" si="39"/>
        <v>18885</v>
      </c>
      <c r="M217" s="62">
        <f>M218+M230+M238+M259</f>
        <v>140000</v>
      </c>
      <c r="N217" s="49">
        <f t="shared" si="38"/>
        <v>158885</v>
      </c>
    </row>
    <row r="218" spans="1:14" x14ac:dyDescent="0.2">
      <c r="A218" s="50" t="str">
        <f ca="1">IF(ISERROR(MATCH(B218,Код_КЦСР,0)),"",INDIRECT(ADDRESS(MATCH(B218,Код_КЦСР,0)+1,2,,,"КЦСР")))</f>
        <v>Текущие ремонты и работы по благоустройству территорий</v>
      </c>
      <c r="B218" s="79" t="s">
        <v>439</v>
      </c>
      <c r="C218" s="65"/>
      <c r="D218" s="46"/>
      <c r="E218" s="26"/>
      <c r="F218" s="62">
        <f>F219</f>
        <v>10000</v>
      </c>
      <c r="G218" s="62">
        <f>G219</f>
        <v>0</v>
      </c>
      <c r="H218" s="49">
        <f t="shared" si="29"/>
        <v>10000</v>
      </c>
      <c r="I218" s="62">
        <f>I219</f>
        <v>-800</v>
      </c>
      <c r="J218" s="49">
        <f t="shared" si="40"/>
        <v>9200</v>
      </c>
      <c r="K218" s="62">
        <f>K219</f>
        <v>0</v>
      </c>
      <c r="L218" s="49">
        <f t="shared" si="39"/>
        <v>9200</v>
      </c>
      <c r="M218" s="62">
        <f>M219</f>
        <v>0</v>
      </c>
      <c r="N218" s="49">
        <f t="shared" si="38"/>
        <v>9200</v>
      </c>
    </row>
    <row r="219" spans="1:14" x14ac:dyDescent="0.2">
      <c r="A219" s="50" t="str">
        <f ca="1">IF(ISERROR(MATCH(C219,Код_Раздел,0)),"",INDIRECT(ADDRESS(MATCH(C219,Код_Раздел,0)+1,2,,,"Раздел")))</f>
        <v>Образование</v>
      </c>
      <c r="B219" s="79" t="s">
        <v>439</v>
      </c>
      <c r="C219" s="65" t="s">
        <v>60</v>
      </c>
      <c r="D219" s="46"/>
      <c r="E219" s="26"/>
      <c r="F219" s="62">
        <f>F220+F224+F227</f>
        <v>10000</v>
      </c>
      <c r="G219" s="62">
        <f>G220+G224+G227</f>
        <v>0</v>
      </c>
      <c r="H219" s="49">
        <f t="shared" si="29"/>
        <v>10000</v>
      </c>
      <c r="I219" s="62">
        <f>I220+I224+I227</f>
        <v>-800</v>
      </c>
      <c r="J219" s="49">
        <f t="shared" si="40"/>
        <v>9200</v>
      </c>
      <c r="K219" s="62">
        <f>K220+K224+K227</f>
        <v>0</v>
      </c>
      <c r="L219" s="49">
        <f t="shared" si="39"/>
        <v>9200</v>
      </c>
      <c r="M219" s="62">
        <f>M220+M224+M227</f>
        <v>0</v>
      </c>
      <c r="N219" s="49">
        <f t="shared" si="38"/>
        <v>9200</v>
      </c>
    </row>
    <row r="220" spans="1:14" x14ac:dyDescent="0.2">
      <c r="A220" s="50" t="s">
        <v>109</v>
      </c>
      <c r="B220" s="79" t="s">
        <v>439</v>
      </c>
      <c r="C220" s="65" t="s">
        <v>60</v>
      </c>
      <c r="D220" s="46" t="s">
        <v>70</v>
      </c>
      <c r="E220" s="26"/>
      <c r="F220" s="62">
        <f>F221</f>
        <v>4950</v>
      </c>
      <c r="G220" s="62">
        <f>G221</f>
        <v>0</v>
      </c>
      <c r="H220" s="49">
        <f t="shared" si="29"/>
        <v>4950</v>
      </c>
      <c r="I220" s="62">
        <f>I221</f>
        <v>-800</v>
      </c>
      <c r="J220" s="49">
        <f t="shared" si="40"/>
        <v>4150</v>
      </c>
      <c r="K220" s="62">
        <f>K221</f>
        <v>-486</v>
      </c>
      <c r="L220" s="49">
        <f t="shared" si="39"/>
        <v>3664</v>
      </c>
      <c r="M220" s="62">
        <f>M221</f>
        <v>0</v>
      </c>
      <c r="N220" s="49">
        <f t="shared" si="38"/>
        <v>3664</v>
      </c>
    </row>
    <row r="221" spans="1:14" ht="33" x14ac:dyDescent="0.2">
      <c r="A221" s="50" t="str">
        <f ca="1">IF(ISERROR(MATCH(E221,Код_КВР,0)),"",INDIRECT(ADDRESS(MATCH(E221,Код_КВР,0)+1,2,,,"КВР")))</f>
        <v>Предоставление субсидий бюджетным, автономным учреждениям и иным некоммерческим организациям</v>
      </c>
      <c r="B221" s="79" t="s">
        <v>439</v>
      </c>
      <c r="C221" s="65" t="s">
        <v>60</v>
      </c>
      <c r="D221" s="46" t="s">
        <v>70</v>
      </c>
      <c r="E221" s="26">
        <v>600</v>
      </c>
      <c r="F221" s="62">
        <f>F222+F223</f>
        <v>4950</v>
      </c>
      <c r="G221" s="62">
        <f>G222+G223</f>
        <v>0</v>
      </c>
      <c r="H221" s="49">
        <f t="shared" si="29"/>
        <v>4950</v>
      </c>
      <c r="I221" s="62">
        <f>I222+I223</f>
        <v>-800</v>
      </c>
      <c r="J221" s="49">
        <f t="shared" si="40"/>
        <v>4150</v>
      </c>
      <c r="K221" s="62">
        <f>K222+K223</f>
        <v>-486</v>
      </c>
      <c r="L221" s="49">
        <f t="shared" si="39"/>
        <v>3664</v>
      </c>
      <c r="M221" s="62">
        <f>M222+M223</f>
        <v>0</v>
      </c>
      <c r="N221" s="49">
        <f t="shared" si="38"/>
        <v>3664</v>
      </c>
    </row>
    <row r="222" spans="1:14" x14ac:dyDescent="0.2">
      <c r="A222" s="50" t="str">
        <f ca="1">IF(ISERROR(MATCH(E222,Код_КВР,0)),"",INDIRECT(ADDRESS(MATCH(E222,Код_КВР,0)+1,2,,,"КВР")))</f>
        <v>Субсидии бюджетным учреждениям</v>
      </c>
      <c r="B222" s="79" t="s">
        <v>439</v>
      </c>
      <c r="C222" s="65" t="s">
        <v>60</v>
      </c>
      <c r="D222" s="46" t="s">
        <v>70</v>
      </c>
      <c r="E222" s="26">
        <v>610</v>
      </c>
      <c r="F222" s="62">
        <f>'прил. 8'!G677</f>
        <v>4850</v>
      </c>
      <c r="G222" s="62">
        <f>'прил. 8'!H677</f>
        <v>0</v>
      </c>
      <c r="H222" s="49">
        <f t="shared" si="29"/>
        <v>4850</v>
      </c>
      <c r="I222" s="62">
        <f>'прил. 8'!J677</f>
        <v>-800</v>
      </c>
      <c r="J222" s="49">
        <f t="shared" si="40"/>
        <v>4050</v>
      </c>
      <c r="K222" s="62">
        <f>'прил. 8'!L677</f>
        <v>-449</v>
      </c>
      <c r="L222" s="49">
        <f t="shared" si="39"/>
        <v>3601</v>
      </c>
      <c r="M222" s="62">
        <f>'прил. 8'!N677</f>
        <v>0</v>
      </c>
      <c r="N222" s="49">
        <f t="shared" si="38"/>
        <v>3601</v>
      </c>
    </row>
    <row r="223" spans="1:14" x14ac:dyDescent="0.2">
      <c r="A223" s="50" t="str">
        <f ca="1">IF(ISERROR(MATCH(E223,Код_КВР,0)),"",INDIRECT(ADDRESS(MATCH(E223,Код_КВР,0)+1,2,,,"КВР")))</f>
        <v>Субсидии автономным учреждениям</v>
      </c>
      <c r="B223" s="79" t="s">
        <v>439</v>
      </c>
      <c r="C223" s="65" t="s">
        <v>60</v>
      </c>
      <c r="D223" s="46" t="s">
        <v>70</v>
      </c>
      <c r="E223" s="26">
        <v>620</v>
      </c>
      <c r="F223" s="62">
        <f>'прил. 8'!G678</f>
        <v>100</v>
      </c>
      <c r="G223" s="62">
        <f>'прил. 8'!H678</f>
        <v>0</v>
      </c>
      <c r="H223" s="49">
        <f t="shared" si="29"/>
        <v>100</v>
      </c>
      <c r="I223" s="62">
        <f>'прил. 8'!J678</f>
        <v>0</v>
      </c>
      <c r="J223" s="49">
        <f t="shared" si="40"/>
        <v>100</v>
      </c>
      <c r="K223" s="62">
        <f>'прил. 8'!L678</f>
        <v>-37</v>
      </c>
      <c r="L223" s="49">
        <f t="shared" si="39"/>
        <v>63</v>
      </c>
      <c r="M223" s="62">
        <f>'прил. 8'!N678</f>
        <v>0</v>
      </c>
      <c r="N223" s="49">
        <f t="shared" si="38"/>
        <v>63</v>
      </c>
    </row>
    <row r="224" spans="1:14" x14ac:dyDescent="0.2">
      <c r="A224" s="50" t="s">
        <v>102</v>
      </c>
      <c r="B224" s="79" t="s">
        <v>439</v>
      </c>
      <c r="C224" s="65" t="s">
        <v>60</v>
      </c>
      <c r="D224" s="46" t="s">
        <v>71</v>
      </c>
      <c r="E224" s="26"/>
      <c r="F224" s="62">
        <f>F225</f>
        <v>4650</v>
      </c>
      <c r="G224" s="62">
        <f>G225</f>
        <v>0</v>
      </c>
      <c r="H224" s="49">
        <f t="shared" si="29"/>
        <v>4650</v>
      </c>
      <c r="I224" s="62">
        <f>I225</f>
        <v>0</v>
      </c>
      <c r="J224" s="49">
        <f t="shared" si="40"/>
        <v>4650</v>
      </c>
      <c r="K224" s="62">
        <f>K225</f>
        <v>620</v>
      </c>
      <c r="L224" s="49">
        <f t="shared" si="39"/>
        <v>5270</v>
      </c>
      <c r="M224" s="62">
        <f>M225</f>
        <v>0</v>
      </c>
      <c r="N224" s="49">
        <f t="shared" si="38"/>
        <v>5270</v>
      </c>
    </row>
    <row r="225" spans="1:14" ht="33" x14ac:dyDescent="0.2">
      <c r="A225" s="50" t="str">
        <f ca="1">IF(ISERROR(MATCH(E225,Код_КВР,0)),"",INDIRECT(ADDRESS(MATCH(E225,Код_КВР,0)+1,2,,,"КВР")))</f>
        <v>Предоставление субсидий бюджетным, автономным учреждениям и иным некоммерческим организациям</v>
      </c>
      <c r="B225" s="79" t="s">
        <v>439</v>
      </c>
      <c r="C225" s="65" t="s">
        <v>60</v>
      </c>
      <c r="D225" s="46" t="s">
        <v>71</v>
      </c>
      <c r="E225" s="26">
        <v>600</v>
      </c>
      <c r="F225" s="62">
        <f>F226</f>
        <v>4650</v>
      </c>
      <c r="G225" s="62">
        <f>G226</f>
        <v>0</v>
      </c>
      <c r="H225" s="49">
        <f t="shared" si="29"/>
        <v>4650</v>
      </c>
      <c r="I225" s="62">
        <f>I226</f>
        <v>0</v>
      </c>
      <c r="J225" s="49">
        <f t="shared" si="40"/>
        <v>4650</v>
      </c>
      <c r="K225" s="62">
        <f>K226</f>
        <v>620</v>
      </c>
      <c r="L225" s="49">
        <f t="shared" si="39"/>
        <v>5270</v>
      </c>
      <c r="M225" s="62">
        <f>M226</f>
        <v>0</v>
      </c>
      <c r="N225" s="49">
        <f t="shared" si="38"/>
        <v>5270</v>
      </c>
    </row>
    <row r="226" spans="1:14" x14ac:dyDescent="0.2">
      <c r="A226" s="50" t="str">
        <f ca="1">IF(ISERROR(MATCH(E226,Код_КВР,0)),"",INDIRECT(ADDRESS(MATCH(E226,Код_КВР,0)+1,2,,,"КВР")))</f>
        <v>Субсидии бюджетным учреждениям</v>
      </c>
      <c r="B226" s="79" t="s">
        <v>439</v>
      </c>
      <c r="C226" s="65" t="s">
        <v>60</v>
      </c>
      <c r="D226" s="46" t="s">
        <v>71</v>
      </c>
      <c r="E226" s="26">
        <v>610</v>
      </c>
      <c r="F226" s="62">
        <f>'прил. 8'!G756</f>
        <v>4650</v>
      </c>
      <c r="G226" s="62">
        <f>'прил. 8'!H756</f>
        <v>0</v>
      </c>
      <c r="H226" s="49">
        <f t="shared" si="29"/>
        <v>4650</v>
      </c>
      <c r="I226" s="62">
        <f>'прил. 8'!J756</f>
        <v>0</v>
      </c>
      <c r="J226" s="49">
        <f t="shared" si="40"/>
        <v>4650</v>
      </c>
      <c r="K226" s="62">
        <f>'прил. 8'!L756</f>
        <v>620</v>
      </c>
      <c r="L226" s="49">
        <f t="shared" si="39"/>
        <v>5270</v>
      </c>
      <c r="M226" s="62">
        <f>'прил. 8'!N756</f>
        <v>0</v>
      </c>
      <c r="N226" s="49">
        <f t="shared" si="38"/>
        <v>5270</v>
      </c>
    </row>
    <row r="227" spans="1:14" x14ac:dyDescent="0.2">
      <c r="A227" s="50" t="s">
        <v>465</v>
      </c>
      <c r="B227" s="79" t="s">
        <v>439</v>
      </c>
      <c r="C227" s="65" t="s">
        <v>60</v>
      </c>
      <c r="D227" s="46" t="s">
        <v>72</v>
      </c>
      <c r="E227" s="26"/>
      <c r="F227" s="62">
        <f>F228</f>
        <v>400</v>
      </c>
      <c r="G227" s="62">
        <f>G228</f>
        <v>0</v>
      </c>
      <c r="H227" s="49">
        <f t="shared" si="29"/>
        <v>400</v>
      </c>
      <c r="I227" s="62">
        <f>I228</f>
        <v>0</v>
      </c>
      <c r="J227" s="49">
        <f t="shared" si="40"/>
        <v>400</v>
      </c>
      <c r="K227" s="62">
        <f>K228</f>
        <v>-134</v>
      </c>
      <c r="L227" s="49">
        <f t="shared" si="39"/>
        <v>266</v>
      </c>
      <c r="M227" s="62">
        <f>M228</f>
        <v>0</v>
      </c>
      <c r="N227" s="49">
        <f t="shared" si="38"/>
        <v>266</v>
      </c>
    </row>
    <row r="228" spans="1:14" ht="33" x14ac:dyDescent="0.2">
      <c r="A228" s="50" t="str">
        <f ca="1">IF(ISERROR(MATCH(E228,Код_КВР,0)),"",INDIRECT(ADDRESS(MATCH(E228,Код_КВР,0)+1,2,,,"КВР")))</f>
        <v>Предоставление субсидий бюджетным, автономным учреждениям и иным некоммерческим организациям</v>
      </c>
      <c r="B228" s="79" t="s">
        <v>439</v>
      </c>
      <c r="C228" s="65" t="s">
        <v>60</v>
      </c>
      <c r="D228" s="46" t="s">
        <v>72</v>
      </c>
      <c r="E228" s="26">
        <v>600</v>
      </c>
      <c r="F228" s="62">
        <f>F229</f>
        <v>400</v>
      </c>
      <c r="G228" s="62">
        <f>G229</f>
        <v>0</v>
      </c>
      <c r="H228" s="49">
        <f t="shared" si="29"/>
        <v>400</v>
      </c>
      <c r="I228" s="62">
        <f>I229</f>
        <v>0</v>
      </c>
      <c r="J228" s="49">
        <f t="shared" si="40"/>
        <v>400</v>
      </c>
      <c r="K228" s="62">
        <f>K229</f>
        <v>-134</v>
      </c>
      <c r="L228" s="49">
        <f t="shared" si="39"/>
        <v>266</v>
      </c>
      <c r="M228" s="62">
        <f>M229</f>
        <v>0</v>
      </c>
      <c r="N228" s="49">
        <f t="shared" si="38"/>
        <v>266</v>
      </c>
    </row>
    <row r="229" spans="1:14" x14ac:dyDescent="0.2">
      <c r="A229" s="50" t="str">
        <f ca="1">IF(ISERROR(MATCH(E229,Код_КВР,0)),"",INDIRECT(ADDRESS(MATCH(E229,Код_КВР,0)+1,2,,,"КВР")))</f>
        <v>Субсидии бюджетным учреждениям</v>
      </c>
      <c r="B229" s="79" t="s">
        <v>439</v>
      </c>
      <c r="C229" s="65" t="s">
        <v>60</v>
      </c>
      <c r="D229" s="46" t="s">
        <v>72</v>
      </c>
      <c r="E229" s="26">
        <v>610</v>
      </c>
      <c r="F229" s="62">
        <f>'прил. 8'!G816</f>
        <v>400</v>
      </c>
      <c r="G229" s="62">
        <f>'прил. 8'!H816</f>
        <v>0</v>
      </c>
      <c r="H229" s="49">
        <f t="shared" si="29"/>
        <v>400</v>
      </c>
      <c r="I229" s="62">
        <f>'прил. 8'!J816</f>
        <v>0</v>
      </c>
      <c r="J229" s="49">
        <f t="shared" si="40"/>
        <v>400</v>
      </c>
      <c r="K229" s="62">
        <f>'прил. 8'!L816</f>
        <v>-134</v>
      </c>
      <c r="L229" s="49">
        <f t="shared" si="39"/>
        <v>266</v>
      </c>
      <c r="M229" s="62">
        <f>'прил. 8'!N816</f>
        <v>0</v>
      </c>
      <c r="N229" s="49">
        <f t="shared" si="38"/>
        <v>266</v>
      </c>
    </row>
    <row r="230" spans="1:14" ht="33" x14ac:dyDescent="0.2">
      <c r="A230" s="50" t="str">
        <f ca="1">IF(ISERROR(MATCH(B230,Код_КЦСР,0)),"",INDIRECT(ADDRESS(MATCH(B230,Код_КЦСР,0)+1,2,,,"КЦСР")))</f>
        <v>Оборудование, мебель, малые архитектурные формы для образовательных учреждений</v>
      </c>
      <c r="B230" s="79" t="s">
        <v>441</v>
      </c>
      <c r="C230" s="65"/>
      <c r="D230" s="46"/>
      <c r="E230" s="26"/>
      <c r="F230" s="62">
        <f>F231</f>
        <v>5027.0999999999995</v>
      </c>
      <c r="G230" s="62">
        <f>G231</f>
        <v>0</v>
      </c>
      <c r="H230" s="49">
        <f t="shared" si="29"/>
        <v>5027.0999999999995</v>
      </c>
      <c r="I230" s="62">
        <f>I231</f>
        <v>0</v>
      </c>
      <c r="J230" s="49">
        <f t="shared" si="40"/>
        <v>5027.0999999999995</v>
      </c>
      <c r="K230" s="62">
        <f>K231</f>
        <v>0</v>
      </c>
      <c r="L230" s="49">
        <f t="shared" si="39"/>
        <v>5027.0999999999995</v>
      </c>
      <c r="M230" s="62">
        <f>M231</f>
        <v>0</v>
      </c>
      <c r="N230" s="49">
        <f t="shared" si="38"/>
        <v>5027.0999999999995</v>
      </c>
    </row>
    <row r="231" spans="1:14" x14ac:dyDescent="0.2">
      <c r="A231" s="50" t="str">
        <f ca="1">IF(ISERROR(MATCH(C231,Код_Раздел,0)),"",INDIRECT(ADDRESS(MATCH(C231,Код_Раздел,0)+1,2,,,"Раздел")))</f>
        <v>Образование</v>
      </c>
      <c r="B231" s="79" t="s">
        <v>441</v>
      </c>
      <c r="C231" s="65" t="s">
        <v>60</v>
      </c>
      <c r="D231" s="46"/>
      <c r="E231" s="26"/>
      <c r="F231" s="62">
        <f>F232+F235</f>
        <v>5027.0999999999995</v>
      </c>
      <c r="G231" s="62">
        <f>G232+G235</f>
        <v>0</v>
      </c>
      <c r="H231" s="49">
        <f t="shared" si="29"/>
        <v>5027.0999999999995</v>
      </c>
      <c r="I231" s="62">
        <f>I232+I235</f>
        <v>0</v>
      </c>
      <c r="J231" s="49">
        <f t="shared" si="40"/>
        <v>5027.0999999999995</v>
      </c>
      <c r="K231" s="62">
        <f>K232+K235</f>
        <v>0</v>
      </c>
      <c r="L231" s="49">
        <f t="shared" si="39"/>
        <v>5027.0999999999995</v>
      </c>
      <c r="M231" s="62">
        <f>M232+M235</f>
        <v>0</v>
      </c>
      <c r="N231" s="49">
        <f t="shared" si="38"/>
        <v>5027.0999999999995</v>
      </c>
    </row>
    <row r="232" spans="1:14" x14ac:dyDescent="0.2">
      <c r="A232" s="50" t="s">
        <v>109</v>
      </c>
      <c r="B232" s="79" t="s">
        <v>441</v>
      </c>
      <c r="C232" s="65" t="s">
        <v>60</v>
      </c>
      <c r="D232" s="46" t="s">
        <v>70</v>
      </c>
      <c r="E232" s="26"/>
      <c r="F232" s="62">
        <f>F233</f>
        <v>4160.8999999999996</v>
      </c>
      <c r="G232" s="62">
        <f>G233</f>
        <v>0</v>
      </c>
      <c r="H232" s="49">
        <f t="shared" si="29"/>
        <v>4160.8999999999996</v>
      </c>
      <c r="I232" s="62">
        <f>I233</f>
        <v>0</v>
      </c>
      <c r="J232" s="49">
        <f t="shared" si="40"/>
        <v>4160.8999999999996</v>
      </c>
      <c r="K232" s="62">
        <f>K233</f>
        <v>0</v>
      </c>
      <c r="L232" s="49">
        <f t="shared" si="39"/>
        <v>4160.8999999999996</v>
      </c>
      <c r="M232" s="62">
        <f>M233</f>
        <v>0</v>
      </c>
      <c r="N232" s="49">
        <f t="shared" si="38"/>
        <v>4160.8999999999996</v>
      </c>
    </row>
    <row r="233" spans="1:14" ht="33" x14ac:dyDescent="0.2">
      <c r="A233" s="50" t="str">
        <f ca="1">IF(ISERROR(MATCH(E233,Код_КВР,0)),"",INDIRECT(ADDRESS(MATCH(E233,Код_КВР,0)+1,2,,,"КВР")))</f>
        <v>Предоставление субсидий бюджетным, автономным учреждениям и иным некоммерческим организациям</v>
      </c>
      <c r="B233" s="79" t="s">
        <v>441</v>
      </c>
      <c r="C233" s="65" t="s">
        <v>60</v>
      </c>
      <c r="D233" s="46" t="s">
        <v>70</v>
      </c>
      <c r="E233" s="26">
        <v>600</v>
      </c>
      <c r="F233" s="62">
        <f>F234</f>
        <v>4160.8999999999996</v>
      </c>
      <c r="G233" s="62">
        <f>G234</f>
        <v>0</v>
      </c>
      <c r="H233" s="49">
        <f t="shared" si="29"/>
        <v>4160.8999999999996</v>
      </c>
      <c r="I233" s="62">
        <f>I234</f>
        <v>0</v>
      </c>
      <c r="J233" s="49">
        <f t="shared" si="40"/>
        <v>4160.8999999999996</v>
      </c>
      <c r="K233" s="62">
        <f>K234</f>
        <v>0</v>
      </c>
      <c r="L233" s="49">
        <f t="shared" si="39"/>
        <v>4160.8999999999996</v>
      </c>
      <c r="M233" s="62">
        <f>M234</f>
        <v>0</v>
      </c>
      <c r="N233" s="49">
        <f t="shared" si="38"/>
        <v>4160.8999999999996</v>
      </c>
    </row>
    <row r="234" spans="1:14" x14ac:dyDescent="0.2">
      <c r="A234" s="50" t="str">
        <f ca="1">IF(ISERROR(MATCH(E234,Код_КВР,0)),"",INDIRECT(ADDRESS(MATCH(E234,Код_КВР,0)+1,2,,,"КВР")))</f>
        <v>Субсидии бюджетным учреждениям</v>
      </c>
      <c r="B234" s="79" t="s">
        <v>441</v>
      </c>
      <c r="C234" s="65" t="s">
        <v>60</v>
      </c>
      <c r="D234" s="46" t="s">
        <v>70</v>
      </c>
      <c r="E234" s="26">
        <v>610</v>
      </c>
      <c r="F234" s="62">
        <f>'прил. 8'!G681</f>
        <v>4160.8999999999996</v>
      </c>
      <c r="G234" s="62">
        <f>'прил. 8'!H681</f>
        <v>0</v>
      </c>
      <c r="H234" s="49">
        <f t="shared" si="29"/>
        <v>4160.8999999999996</v>
      </c>
      <c r="I234" s="62">
        <f>'прил. 8'!J681</f>
        <v>0</v>
      </c>
      <c r="J234" s="49">
        <f t="shared" si="40"/>
        <v>4160.8999999999996</v>
      </c>
      <c r="K234" s="62">
        <f>'прил. 8'!L681</f>
        <v>0</v>
      </c>
      <c r="L234" s="49">
        <f t="shared" si="39"/>
        <v>4160.8999999999996</v>
      </c>
      <c r="M234" s="62">
        <f>'прил. 8'!N681</f>
        <v>0</v>
      </c>
      <c r="N234" s="49">
        <f t="shared" si="38"/>
        <v>4160.8999999999996</v>
      </c>
    </row>
    <row r="235" spans="1:14" x14ac:dyDescent="0.2">
      <c r="A235" s="50" t="s">
        <v>102</v>
      </c>
      <c r="B235" s="79" t="s">
        <v>441</v>
      </c>
      <c r="C235" s="65" t="s">
        <v>60</v>
      </c>
      <c r="D235" s="46" t="s">
        <v>71</v>
      </c>
      <c r="E235" s="26"/>
      <c r="F235" s="62">
        <f>F236</f>
        <v>866.2</v>
      </c>
      <c r="G235" s="62">
        <f>G236</f>
        <v>0</v>
      </c>
      <c r="H235" s="49">
        <f t="shared" si="29"/>
        <v>866.2</v>
      </c>
      <c r="I235" s="62">
        <f>I236</f>
        <v>0</v>
      </c>
      <c r="J235" s="49">
        <f t="shared" si="40"/>
        <v>866.2</v>
      </c>
      <c r="K235" s="62">
        <f>K236</f>
        <v>0</v>
      </c>
      <c r="L235" s="49">
        <f t="shared" si="39"/>
        <v>866.2</v>
      </c>
      <c r="M235" s="62">
        <f>M236</f>
        <v>0</v>
      </c>
      <c r="N235" s="49">
        <f t="shared" si="38"/>
        <v>866.2</v>
      </c>
    </row>
    <row r="236" spans="1:14" ht="33" x14ac:dyDescent="0.2">
      <c r="A236" s="50" t="str">
        <f ca="1">IF(ISERROR(MATCH(E236,Код_КВР,0)),"",INDIRECT(ADDRESS(MATCH(E236,Код_КВР,0)+1,2,,,"КВР")))</f>
        <v>Предоставление субсидий бюджетным, автономным учреждениям и иным некоммерческим организациям</v>
      </c>
      <c r="B236" s="79" t="s">
        <v>441</v>
      </c>
      <c r="C236" s="65" t="s">
        <v>60</v>
      </c>
      <c r="D236" s="46" t="s">
        <v>71</v>
      </c>
      <c r="E236" s="26">
        <v>600</v>
      </c>
      <c r="F236" s="62">
        <f>F237</f>
        <v>866.2</v>
      </c>
      <c r="G236" s="62">
        <f>G237</f>
        <v>0</v>
      </c>
      <c r="H236" s="49">
        <f t="shared" si="29"/>
        <v>866.2</v>
      </c>
      <c r="I236" s="62">
        <f>I237</f>
        <v>0</v>
      </c>
      <c r="J236" s="49">
        <f t="shared" si="40"/>
        <v>866.2</v>
      </c>
      <c r="K236" s="62">
        <f>K237</f>
        <v>0</v>
      </c>
      <c r="L236" s="49">
        <f t="shared" si="39"/>
        <v>866.2</v>
      </c>
      <c r="M236" s="62">
        <f>M237</f>
        <v>0</v>
      </c>
      <c r="N236" s="49">
        <f t="shared" si="38"/>
        <v>866.2</v>
      </c>
    </row>
    <row r="237" spans="1:14" x14ac:dyDescent="0.2">
      <c r="A237" s="50" t="str">
        <f ca="1">IF(ISERROR(MATCH(E237,Код_КВР,0)),"",INDIRECT(ADDRESS(MATCH(E237,Код_КВР,0)+1,2,,,"КВР")))</f>
        <v>Субсидии бюджетным учреждениям</v>
      </c>
      <c r="B237" s="79" t="s">
        <v>441</v>
      </c>
      <c r="C237" s="65" t="s">
        <v>60</v>
      </c>
      <c r="D237" s="46" t="s">
        <v>71</v>
      </c>
      <c r="E237" s="26">
        <v>610</v>
      </c>
      <c r="F237" s="62">
        <f>'прил. 8'!G759</f>
        <v>866.2</v>
      </c>
      <c r="G237" s="62">
        <f>'прил. 8'!H759</f>
        <v>0</v>
      </c>
      <c r="H237" s="49">
        <f t="shared" ref="H237:H335" si="41">F237+G237</f>
        <v>866.2</v>
      </c>
      <c r="I237" s="62">
        <f>'прил. 8'!J759</f>
        <v>0</v>
      </c>
      <c r="J237" s="49">
        <f t="shared" si="40"/>
        <v>866.2</v>
      </c>
      <c r="K237" s="62">
        <f>'прил. 8'!L759</f>
        <v>0</v>
      </c>
      <c r="L237" s="49">
        <f t="shared" si="39"/>
        <v>866.2</v>
      </c>
      <c r="M237" s="62">
        <f>'прил. 8'!N759</f>
        <v>0</v>
      </c>
      <c r="N237" s="49">
        <f t="shared" si="38"/>
        <v>866.2</v>
      </c>
    </row>
    <row r="238" spans="1:14" ht="46.5" customHeight="1" x14ac:dyDescent="0.2">
      <c r="A238" s="50" t="str">
        <f ca="1">IF(ISERROR(MATCH(B238,Код_КЦСР,0)),"",INDIRECT(ADDRESS(MATCH(B238,Код_КЦСР,0)+1,2,,,"КЦСР")))</f>
        <v>Открытие групп на базе функционирующих, строящихся дошкольных учреждений, открытие новых общеобразовательных учреждений</v>
      </c>
      <c r="B238" s="79" t="s">
        <v>517</v>
      </c>
      <c r="C238" s="65"/>
      <c r="D238" s="46"/>
      <c r="E238" s="26"/>
      <c r="F238" s="62">
        <f t="shared" ref="F238:M240" si="42">F239</f>
        <v>4014.4</v>
      </c>
      <c r="G238" s="62">
        <f t="shared" si="42"/>
        <v>0</v>
      </c>
      <c r="H238" s="49">
        <f t="shared" si="41"/>
        <v>4014.4</v>
      </c>
      <c r="I238" s="62">
        <f t="shared" si="42"/>
        <v>0</v>
      </c>
      <c r="J238" s="49">
        <f t="shared" si="40"/>
        <v>4014.4</v>
      </c>
      <c r="K238" s="62">
        <f t="shared" si="42"/>
        <v>643.5</v>
      </c>
      <c r="L238" s="49">
        <f t="shared" si="39"/>
        <v>4657.8999999999996</v>
      </c>
      <c r="M238" s="62">
        <f>M239+M249+M254</f>
        <v>138000</v>
      </c>
      <c r="N238" s="49">
        <f t="shared" si="38"/>
        <v>142657.9</v>
      </c>
    </row>
    <row r="239" spans="1:14" x14ac:dyDescent="0.2">
      <c r="A239" s="50" t="str">
        <f ca="1">IF(ISERROR(MATCH(C239,Код_Раздел,0)),"",INDIRECT(ADDRESS(MATCH(C239,Код_Раздел,0)+1,2,,,"Раздел")))</f>
        <v>Образование</v>
      </c>
      <c r="B239" s="65" t="s">
        <v>517</v>
      </c>
      <c r="C239" s="65" t="s">
        <v>60</v>
      </c>
      <c r="D239" s="46"/>
      <c r="E239" s="26"/>
      <c r="F239" s="62">
        <f t="shared" si="42"/>
        <v>4014.4</v>
      </c>
      <c r="G239" s="62">
        <f t="shared" si="42"/>
        <v>0</v>
      </c>
      <c r="H239" s="49">
        <f t="shared" si="41"/>
        <v>4014.4</v>
      </c>
      <c r="I239" s="62">
        <f t="shared" si="42"/>
        <v>0</v>
      </c>
      <c r="J239" s="49">
        <f t="shared" si="40"/>
        <v>4014.4</v>
      </c>
      <c r="K239" s="62">
        <f t="shared" si="42"/>
        <v>643.5</v>
      </c>
      <c r="L239" s="49">
        <f t="shared" si="39"/>
        <v>4657.8999999999996</v>
      </c>
      <c r="M239" s="62">
        <f>M240+M244</f>
        <v>0</v>
      </c>
      <c r="N239" s="49">
        <f t="shared" si="38"/>
        <v>4657.8999999999996</v>
      </c>
    </row>
    <row r="240" spans="1:14" hidden="1" x14ac:dyDescent="0.2">
      <c r="A240" s="50" t="s">
        <v>109</v>
      </c>
      <c r="B240" s="65" t="s">
        <v>517</v>
      </c>
      <c r="C240" s="65" t="s">
        <v>60</v>
      </c>
      <c r="D240" s="46" t="s">
        <v>70</v>
      </c>
      <c r="E240" s="26"/>
      <c r="F240" s="62">
        <f t="shared" si="42"/>
        <v>4014.4</v>
      </c>
      <c r="G240" s="62">
        <f t="shared" si="42"/>
        <v>0</v>
      </c>
      <c r="H240" s="49">
        <f t="shared" si="41"/>
        <v>4014.4</v>
      </c>
      <c r="I240" s="62">
        <f t="shared" si="42"/>
        <v>0</v>
      </c>
      <c r="J240" s="49">
        <f t="shared" si="40"/>
        <v>4014.4</v>
      </c>
      <c r="K240" s="62">
        <f t="shared" si="42"/>
        <v>643.5</v>
      </c>
      <c r="L240" s="49">
        <f t="shared" si="39"/>
        <v>4657.8999999999996</v>
      </c>
      <c r="M240" s="62">
        <f t="shared" si="42"/>
        <v>-4657.8999999999996</v>
      </c>
      <c r="N240" s="49">
        <f t="shared" si="38"/>
        <v>0</v>
      </c>
    </row>
    <row r="241" spans="1:14" ht="33" hidden="1" x14ac:dyDescent="0.2">
      <c r="A241" s="50" t="str">
        <f ca="1">IF(ISERROR(MATCH(E241,Код_КВР,0)),"",INDIRECT(ADDRESS(MATCH(E241,Код_КВР,0)+1,2,,,"КВР")))</f>
        <v>Предоставление субсидий бюджетным, автономным учреждениям и иным некоммерческим организациям</v>
      </c>
      <c r="B241" s="65" t="s">
        <v>517</v>
      </c>
      <c r="C241" s="65" t="s">
        <v>60</v>
      </c>
      <c r="D241" s="46" t="s">
        <v>70</v>
      </c>
      <c r="E241" s="26">
        <v>600</v>
      </c>
      <c r="F241" s="62">
        <f>F242+F243</f>
        <v>4014.4</v>
      </c>
      <c r="G241" s="62">
        <f>G242+G243</f>
        <v>0</v>
      </c>
      <c r="H241" s="49">
        <f t="shared" si="41"/>
        <v>4014.4</v>
      </c>
      <c r="I241" s="62">
        <f>I242+I243</f>
        <v>0</v>
      </c>
      <c r="J241" s="49">
        <f t="shared" si="40"/>
        <v>4014.4</v>
      </c>
      <c r="K241" s="62">
        <f>K242+K243</f>
        <v>643.5</v>
      </c>
      <c r="L241" s="49">
        <f t="shared" si="39"/>
        <v>4657.8999999999996</v>
      </c>
      <c r="M241" s="62">
        <f>M242+M243</f>
        <v>-4657.8999999999996</v>
      </c>
      <c r="N241" s="49">
        <f t="shared" si="38"/>
        <v>0</v>
      </c>
    </row>
    <row r="242" spans="1:14" hidden="1" x14ac:dyDescent="0.2">
      <c r="A242" s="50" t="str">
        <f ca="1">IF(ISERROR(MATCH(E242,Код_КВР,0)),"",INDIRECT(ADDRESS(MATCH(E242,Код_КВР,0)+1,2,,,"КВР")))</f>
        <v>Субсидии бюджетным учреждениям</v>
      </c>
      <c r="B242" s="65" t="s">
        <v>517</v>
      </c>
      <c r="C242" s="65" t="s">
        <v>60</v>
      </c>
      <c r="D242" s="46" t="s">
        <v>70</v>
      </c>
      <c r="E242" s="26">
        <v>610</v>
      </c>
      <c r="F242" s="62">
        <f>'прил. 8'!G684</f>
        <v>4014.4</v>
      </c>
      <c r="G242" s="62">
        <f>'прил. 8'!H684</f>
        <v>0</v>
      </c>
      <c r="H242" s="49">
        <f t="shared" si="41"/>
        <v>4014.4</v>
      </c>
      <c r="I242" s="62">
        <f>'прил. 8'!J684</f>
        <v>0</v>
      </c>
      <c r="J242" s="49">
        <f t="shared" si="40"/>
        <v>4014.4</v>
      </c>
      <c r="K242" s="62">
        <f>'прил. 8'!L684</f>
        <v>643.5</v>
      </c>
      <c r="L242" s="49">
        <f t="shared" si="39"/>
        <v>4657.8999999999996</v>
      </c>
      <c r="M242" s="62">
        <f>'прил. 8'!N684</f>
        <v>-4657.8999999999996</v>
      </c>
      <c r="N242" s="49">
        <f t="shared" si="38"/>
        <v>0</v>
      </c>
    </row>
    <row r="243" spans="1:14" hidden="1" x14ac:dyDescent="0.2">
      <c r="A243" s="50" t="str">
        <f ca="1">IF(ISERROR(MATCH(E243,Код_КВР,0)),"",INDIRECT(ADDRESS(MATCH(E243,Код_КВР,0)+1,2,,,"КВР")))</f>
        <v>Субсидии автономным учреждениям</v>
      </c>
      <c r="B243" s="65" t="s">
        <v>517</v>
      </c>
      <c r="C243" s="65" t="s">
        <v>60</v>
      </c>
      <c r="D243" s="46" t="s">
        <v>70</v>
      </c>
      <c r="E243" s="26">
        <v>620</v>
      </c>
      <c r="F243" s="62">
        <f>'прил. 8'!G685</f>
        <v>0</v>
      </c>
      <c r="G243" s="62">
        <f>'прил. 8'!H685</f>
        <v>0</v>
      </c>
      <c r="H243" s="49">
        <f t="shared" si="41"/>
        <v>0</v>
      </c>
      <c r="I243" s="62">
        <f>'прил. 8'!J685</f>
        <v>0</v>
      </c>
      <c r="J243" s="49">
        <f t="shared" si="40"/>
        <v>0</v>
      </c>
      <c r="K243" s="62">
        <f>'прил. 8'!L685</f>
        <v>0</v>
      </c>
      <c r="L243" s="49">
        <f t="shared" si="39"/>
        <v>0</v>
      </c>
      <c r="M243" s="62">
        <f>'прил. 8'!N685</f>
        <v>0</v>
      </c>
      <c r="N243" s="49">
        <f t="shared" si="38"/>
        <v>0</v>
      </c>
    </row>
    <row r="244" spans="1:14" ht="50.25" customHeight="1" x14ac:dyDescent="0.2">
      <c r="A244" s="50" t="str">
        <f ca="1">IF(ISERROR(MATCH(B244,Код_КЦСР,0)),"",INDIRECT(ADDRESS(MATCH(B244,Код_КЦСР,0)+1,2,,,"КЦСР")))</f>
        <v>Открытие групп на базе функционирующих, строящихся дошкольных учреждений, открытие новых общеобразовательных учреждений, за счет средств городского бюджета</v>
      </c>
      <c r="B244" s="79" t="s">
        <v>734</v>
      </c>
      <c r="C244" s="65"/>
      <c r="D244" s="46"/>
      <c r="E244" s="26"/>
      <c r="F244" s="62"/>
      <c r="G244" s="62"/>
      <c r="H244" s="49"/>
      <c r="I244" s="62"/>
      <c r="J244" s="49"/>
      <c r="K244" s="62"/>
      <c r="L244" s="49"/>
      <c r="M244" s="62">
        <f>M245</f>
        <v>4657.8999999999996</v>
      </c>
      <c r="N244" s="49">
        <f t="shared" si="38"/>
        <v>4657.8999999999996</v>
      </c>
    </row>
    <row r="245" spans="1:14" x14ac:dyDescent="0.2">
      <c r="A245" s="50" t="str">
        <f ca="1">IF(ISERROR(MATCH(C245,Код_Раздел,0)),"",INDIRECT(ADDRESS(MATCH(C245,Код_Раздел,0)+1,2,,,"Раздел")))</f>
        <v>Образование</v>
      </c>
      <c r="B245" s="79" t="s">
        <v>734</v>
      </c>
      <c r="C245" s="65" t="s">
        <v>60</v>
      </c>
      <c r="D245" s="46"/>
      <c r="E245" s="26"/>
      <c r="F245" s="62"/>
      <c r="G245" s="62"/>
      <c r="H245" s="49"/>
      <c r="I245" s="62"/>
      <c r="J245" s="49"/>
      <c r="K245" s="62"/>
      <c r="L245" s="49"/>
      <c r="M245" s="62">
        <f>M246</f>
        <v>4657.8999999999996</v>
      </c>
      <c r="N245" s="49">
        <f t="shared" si="38"/>
        <v>4657.8999999999996</v>
      </c>
    </row>
    <row r="246" spans="1:14" x14ac:dyDescent="0.2">
      <c r="A246" s="50" t="s">
        <v>109</v>
      </c>
      <c r="B246" s="79" t="s">
        <v>734</v>
      </c>
      <c r="C246" s="65" t="s">
        <v>60</v>
      </c>
      <c r="D246" s="46" t="s">
        <v>70</v>
      </c>
      <c r="E246" s="26"/>
      <c r="F246" s="62"/>
      <c r="G246" s="62"/>
      <c r="H246" s="49"/>
      <c r="I246" s="62"/>
      <c r="J246" s="49"/>
      <c r="K246" s="62"/>
      <c r="L246" s="49"/>
      <c r="M246" s="62">
        <f>M247</f>
        <v>4657.8999999999996</v>
      </c>
      <c r="N246" s="49">
        <f t="shared" si="38"/>
        <v>4657.8999999999996</v>
      </c>
    </row>
    <row r="247" spans="1:14" ht="33" x14ac:dyDescent="0.2">
      <c r="A247" s="50" t="str">
        <f ca="1">IF(ISERROR(MATCH(E247,Код_КВР,0)),"",INDIRECT(ADDRESS(MATCH(E247,Код_КВР,0)+1,2,,,"КВР")))</f>
        <v>Предоставление субсидий бюджетным, автономным учреждениям и иным некоммерческим организациям</v>
      </c>
      <c r="B247" s="79" t="s">
        <v>734</v>
      </c>
      <c r="C247" s="65" t="s">
        <v>60</v>
      </c>
      <c r="D247" s="46" t="s">
        <v>70</v>
      </c>
      <c r="E247" s="26">
        <v>600</v>
      </c>
      <c r="F247" s="62"/>
      <c r="G247" s="62"/>
      <c r="H247" s="49"/>
      <c r="I247" s="62"/>
      <c r="J247" s="49"/>
      <c r="K247" s="62"/>
      <c r="L247" s="49"/>
      <c r="M247" s="62">
        <f>M248</f>
        <v>4657.8999999999996</v>
      </c>
      <c r="N247" s="49">
        <f t="shared" si="38"/>
        <v>4657.8999999999996</v>
      </c>
    </row>
    <row r="248" spans="1:14" x14ac:dyDescent="0.2">
      <c r="A248" s="50" t="str">
        <f ca="1">IF(ISERROR(MATCH(E248,Код_КВР,0)),"",INDIRECT(ADDRESS(MATCH(E248,Код_КВР,0)+1,2,,,"КВР")))</f>
        <v>Субсидии бюджетным учреждениям</v>
      </c>
      <c r="B248" s="79" t="s">
        <v>734</v>
      </c>
      <c r="C248" s="65" t="s">
        <v>60</v>
      </c>
      <c r="D248" s="46" t="s">
        <v>70</v>
      </c>
      <c r="E248" s="26">
        <v>610</v>
      </c>
      <c r="F248" s="62"/>
      <c r="G248" s="62"/>
      <c r="H248" s="49"/>
      <c r="I248" s="62"/>
      <c r="J248" s="49"/>
      <c r="K248" s="62"/>
      <c r="L248" s="49"/>
      <c r="M248" s="62">
        <f>'прил. 8'!N688</f>
        <v>4657.8999999999996</v>
      </c>
      <c r="N248" s="49">
        <f t="shared" si="38"/>
        <v>4657.8999999999996</v>
      </c>
    </row>
    <row r="249" spans="1:14" ht="55.5" customHeight="1" x14ac:dyDescent="0.2">
      <c r="A249" s="50" t="str">
        <f ca="1">IF(ISERROR(MATCH(B249,Код_КЦСР,0)),"",INDIRECT(ADDRESS(MATCH(B249,Код_КЦСР,0)+1,2,,,"КЦСР")))</f>
        <v>Открытие групп на базе функционирующих, строящихся дошкольных учреждений, открытие новых общеобразовательных учреждений, в рамках софинансирования</v>
      </c>
      <c r="B249" s="79" t="s">
        <v>731</v>
      </c>
      <c r="C249" s="65"/>
      <c r="D249" s="46"/>
      <c r="E249" s="26"/>
      <c r="F249" s="62"/>
      <c r="G249" s="62"/>
      <c r="H249" s="49"/>
      <c r="I249" s="62"/>
      <c r="J249" s="49"/>
      <c r="K249" s="62"/>
      <c r="L249" s="49"/>
      <c r="M249" s="62">
        <f>M250</f>
        <v>25804.9</v>
      </c>
      <c r="N249" s="49">
        <f t="shared" si="38"/>
        <v>25804.9</v>
      </c>
    </row>
    <row r="250" spans="1:14" x14ac:dyDescent="0.2">
      <c r="A250" s="50" t="str">
        <f ca="1">IF(ISERROR(MATCH(C250,Код_Раздел,0)),"",INDIRECT(ADDRESS(MATCH(C250,Код_Раздел,0)+1,2,,,"Раздел")))</f>
        <v>Образование</v>
      </c>
      <c r="B250" s="79" t="s">
        <v>731</v>
      </c>
      <c r="C250" s="65" t="s">
        <v>60</v>
      </c>
      <c r="D250" s="46"/>
      <c r="E250" s="26"/>
      <c r="F250" s="62"/>
      <c r="G250" s="62"/>
      <c r="H250" s="49"/>
      <c r="I250" s="62"/>
      <c r="J250" s="49"/>
      <c r="K250" s="62"/>
      <c r="L250" s="49"/>
      <c r="M250" s="62">
        <f>M251</f>
        <v>25804.9</v>
      </c>
      <c r="N250" s="49">
        <f t="shared" si="38"/>
        <v>25804.9</v>
      </c>
    </row>
    <row r="251" spans="1:14" x14ac:dyDescent="0.2">
      <c r="A251" s="45" t="s">
        <v>102</v>
      </c>
      <c r="B251" s="79" t="s">
        <v>731</v>
      </c>
      <c r="C251" s="65" t="s">
        <v>60</v>
      </c>
      <c r="D251" s="46" t="s">
        <v>71</v>
      </c>
      <c r="E251" s="26"/>
      <c r="F251" s="62"/>
      <c r="G251" s="62"/>
      <c r="H251" s="49"/>
      <c r="I251" s="62"/>
      <c r="J251" s="49"/>
      <c r="K251" s="62"/>
      <c r="L251" s="49"/>
      <c r="M251" s="62">
        <f>M252</f>
        <v>25804.9</v>
      </c>
      <c r="N251" s="49">
        <f t="shared" si="38"/>
        <v>25804.9</v>
      </c>
    </row>
    <row r="252" spans="1:14" ht="33" x14ac:dyDescent="0.2">
      <c r="A252" s="50" t="str">
        <f ca="1">IF(ISERROR(MATCH(E252,Код_КВР,0)),"",INDIRECT(ADDRESS(MATCH(E252,Код_КВР,0)+1,2,,,"КВР")))</f>
        <v>Предоставление субсидий бюджетным, автономным учреждениям и иным некоммерческим организациям</v>
      </c>
      <c r="B252" s="79" t="s">
        <v>731</v>
      </c>
      <c r="C252" s="65" t="s">
        <v>60</v>
      </c>
      <c r="D252" s="46" t="s">
        <v>71</v>
      </c>
      <c r="E252" s="26">
        <v>600</v>
      </c>
      <c r="F252" s="62"/>
      <c r="G252" s="62"/>
      <c r="H252" s="49"/>
      <c r="I252" s="62"/>
      <c r="J252" s="49"/>
      <c r="K252" s="62"/>
      <c r="L252" s="49"/>
      <c r="M252" s="62">
        <f>M253</f>
        <v>25804.9</v>
      </c>
      <c r="N252" s="49">
        <f t="shared" si="38"/>
        <v>25804.9</v>
      </c>
    </row>
    <row r="253" spans="1:14" x14ac:dyDescent="0.2">
      <c r="A253" s="50" t="str">
        <f ca="1">IF(ISERROR(MATCH(E253,Код_КВР,0)),"",INDIRECT(ADDRESS(MATCH(E253,Код_КВР,0)+1,2,,,"КВР")))</f>
        <v>Субсидии бюджетным учреждениям</v>
      </c>
      <c r="B253" s="79" t="s">
        <v>731</v>
      </c>
      <c r="C253" s="65" t="s">
        <v>60</v>
      </c>
      <c r="D253" s="46" t="s">
        <v>71</v>
      </c>
      <c r="E253" s="26">
        <v>610</v>
      </c>
      <c r="F253" s="62"/>
      <c r="G253" s="62"/>
      <c r="H253" s="49"/>
      <c r="I253" s="62"/>
      <c r="J253" s="49"/>
      <c r="K253" s="62"/>
      <c r="L253" s="49"/>
      <c r="M253" s="62">
        <f>'прил. 8'!N763</f>
        <v>25804.9</v>
      </c>
      <c r="N253" s="49">
        <f t="shared" si="38"/>
        <v>25804.9</v>
      </c>
    </row>
    <row r="254" spans="1:14" ht="49.5" x14ac:dyDescent="0.2">
      <c r="A254" s="50" t="str">
        <f ca="1">IF(ISERROR(MATCH(B254,Код_КЦСР,0)),"",INDIRECT(ADDRESS(MATCH(B254,Код_КЦСР,0)+1,2,,,"КЦСР")))</f>
        <v>Открытие групп на базе функционирующих, строящихся дошкольных учреждений, открытие новых общеобразовательных учреждений, за счет средств вышестоящих бюджетов</v>
      </c>
      <c r="B254" s="79" t="s">
        <v>730</v>
      </c>
      <c r="C254" s="65"/>
      <c r="D254" s="46"/>
      <c r="E254" s="26"/>
      <c r="F254" s="62"/>
      <c r="G254" s="62"/>
      <c r="H254" s="49"/>
      <c r="I254" s="62"/>
      <c r="J254" s="49"/>
      <c r="K254" s="62"/>
      <c r="L254" s="49"/>
      <c r="M254" s="62">
        <f>M255</f>
        <v>112195.1</v>
      </c>
      <c r="N254" s="49">
        <f t="shared" si="38"/>
        <v>112195.1</v>
      </c>
    </row>
    <row r="255" spans="1:14" x14ac:dyDescent="0.2">
      <c r="A255" s="50" t="str">
        <f ca="1">IF(ISERROR(MATCH(C255,Код_Раздел,0)),"",INDIRECT(ADDRESS(MATCH(C255,Код_Раздел,0)+1,2,,,"Раздел")))</f>
        <v>Образование</v>
      </c>
      <c r="B255" s="79" t="s">
        <v>730</v>
      </c>
      <c r="C255" s="65" t="s">
        <v>60</v>
      </c>
      <c r="D255" s="46"/>
      <c r="E255" s="26"/>
      <c r="F255" s="62"/>
      <c r="G255" s="62"/>
      <c r="H255" s="49"/>
      <c r="I255" s="62"/>
      <c r="J255" s="49"/>
      <c r="K255" s="62"/>
      <c r="L255" s="49"/>
      <c r="M255" s="62">
        <f>M256</f>
        <v>112195.1</v>
      </c>
      <c r="N255" s="49">
        <f t="shared" si="38"/>
        <v>112195.1</v>
      </c>
    </row>
    <row r="256" spans="1:14" x14ac:dyDescent="0.2">
      <c r="A256" s="45" t="s">
        <v>102</v>
      </c>
      <c r="B256" s="79" t="s">
        <v>730</v>
      </c>
      <c r="C256" s="65" t="s">
        <v>60</v>
      </c>
      <c r="D256" s="46" t="s">
        <v>71</v>
      </c>
      <c r="E256" s="26"/>
      <c r="F256" s="62"/>
      <c r="G256" s="62"/>
      <c r="H256" s="49"/>
      <c r="I256" s="62"/>
      <c r="J256" s="49"/>
      <c r="K256" s="62"/>
      <c r="L256" s="49"/>
      <c r="M256" s="62">
        <f>M257</f>
        <v>112195.1</v>
      </c>
      <c r="N256" s="49">
        <f t="shared" si="38"/>
        <v>112195.1</v>
      </c>
    </row>
    <row r="257" spans="1:14" ht="33" x14ac:dyDescent="0.2">
      <c r="A257" s="50" t="str">
        <f ca="1">IF(ISERROR(MATCH(E257,Код_КВР,0)),"",INDIRECT(ADDRESS(MATCH(E257,Код_КВР,0)+1,2,,,"КВР")))</f>
        <v>Предоставление субсидий бюджетным, автономным учреждениям и иным некоммерческим организациям</v>
      </c>
      <c r="B257" s="79" t="s">
        <v>730</v>
      </c>
      <c r="C257" s="65" t="s">
        <v>60</v>
      </c>
      <c r="D257" s="46" t="s">
        <v>71</v>
      </c>
      <c r="E257" s="26">
        <v>600</v>
      </c>
      <c r="F257" s="62"/>
      <c r="G257" s="62"/>
      <c r="H257" s="49"/>
      <c r="I257" s="62"/>
      <c r="J257" s="49"/>
      <c r="K257" s="62"/>
      <c r="L257" s="49"/>
      <c r="M257" s="62">
        <f>M258</f>
        <v>112195.1</v>
      </c>
      <c r="N257" s="49">
        <f t="shared" si="38"/>
        <v>112195.1</v>
      </c>
    </row>
    <row r="258" spans="1:14" x14ac:dyDescent="0.2">
      <c r="A258" s="50" t="str">
        <f ca="1">IF(ISERROR(MATCH(E258,Код_КВР,0)),"",INDIRECT(ADDRESS(MATCH(E258,Код_КВР,0)+1,2,,,"КВР")))</f>
        <v>Субсидии бюджетным учреждениям</v>
      </c>
      <c r="B258" s="79" t="s">
        <v>730</v>
      </c>
      <c r="C258" s="65" t="s">
        <v>60</v>
      </c>
      <c r="D258" s="46" t="s">
        <v>71</v>
      </c>
      <c r="E258" s="26">
        <v>610</v>
      </c>
      <c r="F258" s="62"/>
      <c r="G258" s="62"/>
      <c r="H258" s="49"/>
      <c r="I258" s="62"/>
      <c r="J258" s="49"/>
      <c r="K258" s="62"/>
      <c r="L258" s="49"/>
      <c r="M258" s="62">
        <f>'прил. 8'!N766</f>
        <v>112195.1</v>
      </c>
      <c r="N258" s="49">
        <f t="shared" si="38"/>
        <v>112195.1</v>
      </c>
    </row>
    <row r="259" spans="1:14" ht="33" x14ac:dyDescent="0.2">
      <c r="A259" s="50" t="str">
        <f ca="1">IF(ISERROR(MATCH(B259,Код_КЦСР,0)),"",INDIRECT(ADDRESS(MATCH(B259,Код_КЦСР,0)+1,2,,,"КЦСР")))</f>
        <v>Строительство комплексных спортивных площадок на территории общеобразовательных учреждений</v>
      </c>
      <c r="B259" s="79" t="s">
        <v>728</v>
      </c>
      <c r="C259" s="65"/>
      <c r="D259" s="46"/>
      <c r="E259" s="26"/>
      <c r="F259" s="62"/>
      <c r="G259" s="62"/>
      <c r="H259" s="49"/>
      <c r="I259" s="62"/>
      <c r="J259" s="49"/>
      <c r="K259" s="62"/>
      <c r="L259" s="49"/>
      <c r="M259" s="62">
        <f>M260</f>
        <v>2000</v>
      </c>
      <c r="N259" s="49">
        <f t="shared" si="38"/>
        <v>2000</v>
      </c>
    </row>
    <row r="260" spans="1:14" x14ac:dyDescent="0.2">
      <c r="A260" s="50" t="str">
        <f ca="1">IF(ISERROR(MATCH(C260,Код_Раздел,0)),"",INDIRECT(ADDRESS(MATCH(C260,Код_Раздел,0)+1,2,,,"Раздел")))</f>
        <v>Образование</v>
      </c>
      <c r="B260" s="79" t="s">
        <v>728</v>
      </c>
      <c r="C260" s="65" t="s">
        <v>60</v>
      </c>
      <c r="D260" s="46"/>
      <c r="E260" s="26"/>
      <c r="F260" s="62"/>
      <c r="G260" s="62"/>
      <c r="H260" s="49"/>
      <c r="I260" s="62"/>
      <c r="J260" s="49"/>
      <c r="K260" s="62"/>
      <c r="L260" s="49"/>
      <c r="M260" s="62">
        <f>M261</f>
        <v>2000</v>
      </c>
      <c r="N260" s="49">
        <f t="shared" si="38"/>
        <v>2000</v>
      </c>
    </row>
    <row r="261" spans="1:14" x14ac:dyDescent="0.2">
      <c r="A261" s="45" t="s">
        <v>102</v>
      </c>
      <c r="B261" s="79" t="s">
        <v>728</v>
      </c>
      <c r="C261" s="65" t="s">
        <v>60</v>
      </c>
      <c r="D261" s="46" t="s">
        <v>71</v>
      </c>
      <c r="E261" s="26"/>
      <c r="F261" s="62"/>
      <c r="G261" s="62"/>
      <c r="H261" s="49"/>
      <c r="I261" s="62"/>
      <c r="J261" s="49"/>
      <c r="K261" s="62"/>
      <c r="L261" s="49"/>
      <c r="M261" s="62">
        <f>M262</f>
        <v>2000</v>
      </c>
      <c r="N261" s="49">
        <f t="shared" si="38"/>
        <v>2000</v>
      </c>
    </row>
    <row r="262" spans="1:14" ht="33" x14ac:dyDescent="0.2">
      <c r="A262" s="50" t="str">
        <f ca="1">IF(ISERROR(MATCH(E262,Код_КВР,0)),"",INDIRECT(ADDRESS(MATCH(E262,Код_КВР,0)+1,2,,,"КВР")))</f>
        <v>Капитальные вложения в объекты государственной (муниципальной) собственности</v>
      </c>
      <c r="B262" s="79" t="s">
        <v>728</v>
      </c>
      <c r="C262" s="65" t="s">
        <v>60</v>
      </c>
      <c r="D262" s="46" t="s">
        <v>71</v>
      </c>
      <c r="E262" s="26">
        <v>400</v>
      </c>
      <c r="F262" s="62"/>
      <c r="G262" s="62"/>
      <c r="H262" s="49"/>
      <c r="I262" s="62"/>
      <c r="J262" s="49"/>
      <c r="K262" s="62"/>
      <c r="L262" s="49"/>
      <c r="M262" s="62">
        <f>M263</f>
        <v>2000</v>
      </c>
      <c r="N262" s="49">
        <f t="shared" si="38"/>
        <v>2000</v>
      </c>
    </row>
    <row r="263" spans="1:14" ht="82.5" x14ac:dyDescent="0.2">
      <c r="A263" s="50" t="str">
        <f ca="1">IF(ISERROR(MATCH(E263,Код_КВР,0)),"",INDIRECT(ADDRESS(MATCH(E263,Код_КВР,0)+1,2,,,"КВР")))</f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v>
      </c>
      <c r="B263" s="79" t="s">
        <v>728</v>
      </c>
      <c r="C263" s="65" t="s">
        <v>60</v>
      </c>
      <c r="D263" s="46" t="s">
        <v>71</v>
      </c>
      <c r="E263" s="26">
        <v>460</v>
      </c>
      <c r="F263" s="62"/>
      <c r="G263" s="62"/>
      <c r="H263" s="49"/>
      <c r="I263" s="62"/>
      <c r="J263" s="49"/>
      <c r="K263" s="62"/>
      <c r="L263" s="49"/>
      <c r="M263" s="62">
        <f>'прил. 8'!N769</f>
        <v>2000</v>
      </c>
      <c r="N263" s="49">
        <f t="shared" si="38"/>
        <v>2000</v>
      </c>
    </row>
    <row r="264" spans="1:14" ht="33" x14ac:dyDescent="0.2">
      <c r="A264" s="50" t="str">
        <f ca="1">IF(ISERROR(MATCH(B264,Код_КЦСР,0)),"",INDIRECT(ADDRESS(MATCH(B264,Код_КЦСР,0)+1,2,,,"КЦСР")))</f>
        <v>Муниципальная программа «Развитие культуры и туризма в городе Череповце» на 2016 – 2022 годы</v>
      </c>
      <c r="B264" s="79" t="s">
        <v>232</v>
      </c>
      <c r="C264" s="65"/>
      <c r="D264" s="46"/>
      <c r="E264" s="26"/>
      <c r="F264" s="62">
        <f>F265+F273+F282+F333+F355+F375</f>
        <v>442352.8</v>
      </c>
      <c r="G264" s="62">
        <f>G265+G273+G282+G333+G355+G375</f>
        <v>0</v>
      </c>
      <c r="H264" s="49">
        <f t="shared" si="41"/>
        <v>442352.8</v>
      </c>
      <c r="I264" s="62">
        <f>I265+I273+I282+I333+I355+I375</f>
        <v>0</v>
      </c>
      <c r="J264" s="49">
        <f t="shared" si="40"/>
        <v>442352.8</v>
      </c>
      <c r="K264" s="62">
        <f>K265+K273+K282+K333+K355+K375</f>
        <v>1280.1999999999998</v>
      </c>
      <c r="L264" s="49">
        <f t="shared" si="39"/>
        <v>443633</v>
      </c>
      <c r="M264" s="62">
        <f>M265+M273+M282+M333+M355+M375</f>
        <v>0</v>
      </c>
      <c r="N264" s="49">
        <f t="shared" si="38"/>
        <v>443633</v>
      </c>
    </row>
    <row r="265" spans="1:14" ht="33" x14ac:dyDescent="0.2">
      <c r="A265" s="50" t="str">
        <f ca="1">IF(ISERROR(MATCH(B265,Код_КЦСР,0)),"",INDIRECT(ADDRESS(MATCH(B265,Код_КЦСР,0)+1,2,,,"КЦСР")))</f>
        <v>Организация работы по реализации целей, задач управления и выполнения его функциональных обязанностей</v>
      </c>
      <c r="B265" s="79" t="s">
        <v>266</v>
      </c>
      <c r="C265" s="65"/>
      <c r="D265" s="46"/>
      <c r="E265" s="26"/>
      <c r="F265" s="62">
        <f t="shared" ref="F265:M266" si="43">F266</f>
        <v>5572.5</v>
      </c>
      <c r="G265" s="62">
        <f t="shared" si="43"/>
        <v>0</v>
      </c>
      <c r="H265" s="49">
        <f t="shared" si="41"/>
        <v>5572.5</v>
      </c>
      <c r="I265" s="62">
        <f t="shared" si="43"/>
        <v>0</v>
      </c>
      <c r="J265" s="49">
        <f t="shared" si="40"/>
        <v>5572.5</v>
      </c>
      <c r="K265" s="62">
        <f t="shared" si="43"/>
        <v>0</v>
      </c>
      <c r="L265" s="49">
        <f t="shared" si="39"/>
        <v>5572.5</v>
      </c>
      <c r="M265" s="62">
        <f t="shared" si="43"/>
        <v>0</v>
      </c>
      <c r="N265" s="49">
        <f t="shared" si="38"/>
        <v>5572.5</v>
      </c>
    </row>
    <row r="266" spans="1:14" x14ac:dyDescent="0.2">
      <c r="A266" s="50" t="str">
        <f ca="1">IF(ISERROR(MATCH(B266,Код_КЦСР,0)),"",INDIRECT(ADDRESS(MATCH(B266,Код_КЦСР,0)+1,2,,,"КЦСР")))</f>
        <v>Расходы на обеспечение функций органов местного самоуправления</v>
      </c>
      <c r="B266" s="79" t="s">
        <v>267</v>
      </c>
      <c r="C266" s="65"/>
      <c r="D266" s="46"/>
      <c r="E266" s="26"/>
      <c r="F266" s="62">
        <f t="shared" si="43"/>
        <v>5572.5</v>
      </c>
      <c r="G266" s="62">
        <f t="shared" si="43"/>
        <v>0</v>
      </c>
      <c r="H266" s="49">
        <f t="shared" si="41"/>
        <v>5572.5</v>
      </c>
      <c r="I266" s="62">
        <f t="shared" si="43"/>
        <v>0</v>
      </c>
      <c r="J266" s="49">
        <f t="shared" si="40"/>
        <v>5572.5</v>
      </c>
      <c r="K266" s="62">
        <f t="shared" si="43"/>
        <v>0</v>
      </c>
      <c r="L266" s="49">
        <f t="shared" si="39"/>
        <v>5572.5</v>
      </c>
      <c r="M266" s="62">
        <f t="shared" si="43"/>
        <v>0</v>
      </c>
      <c r="N266" s="49">
        <f t="shared" si="38"/>
        <v>5572.5</v>
      </c>
    </row>
    <row r="267" spans="1:14" x14ac:dyDescent="0.2">
      <c r="A267" s="50" t="str">
        <f ca="1">IF(ISERROR(MATCH(C267,Код_Раздел,0)),"",INDIRECT(ADDRESS(MATCH(C267,Код_Раздел,0)+1,2,,,"Раздел")))</f>
        <v>Культура, кинематография</v>
      </c>
      <c r="B267" s="79" t="s">
        <v>267</v>
      </c>
      <c r="C267" s="65" t="s">
        <v>79</v>
      </c>
      <c r="D267" s="46"/>
      <c r="E267" s="26"/>
      <c r="F267" s="62">
        <f t="shared" ref="F267:M267" si="44">F268</f>
        <v>5572.5</v>
      </c>
      <c r="G267" s="62">
        <f t="shared" si="44"/>
        <v>0</v>
      </c>
      <c r="H267" s="49">
        <f t="shared" si="41"/>
        <v>5572.5</v>
      </c>
      <c r="I267" s="62">
        <f t="shared" si="44"/>
        <v>0</v>
      </c>
      <c r="J267" s="49">
        <f t="shared" si="40"/>
        <v>5572.5</v>
      </c>
      <c r="K267" s="62">
        <f t="shared" si="44"/>
        <v>0</v>
      </c>
      <c r="L267" s="49">
        <f t="shared" si="39"/>
        <v>5572.5</v>
      </c>
      <c r="M267" s="62">
        <f t="shared" si="44"/>
        <v>0</v>
      </c>
      <c r="N267" s="49">
        <f t="shared" si="38"/>
        <v>5572.5</v>
      </c>
    </row>
    <row r="268" spans="1:14" x14ac:dyDescent="0.2">
      <c r="A268" s="45" t="s">
        <v>34</v>
      </c>
      <c r="B268" s="79" t="s">
        <v>267</v>
      </c>
      <c r="C268" s="65" t="s">
        <v>79</v>
      </c>
      <c r="D268" s="46" t="s">
        <v>73</v>
      </c>
      <c r="E268" s="26"/>
      <c r="F268" s="62">
        <f>F269+F271</f>
        <v>5572.5</v>
      </c>
      <c r="G268" s="62">
        <f>G269+G271</f>
        <v>0</v>
      </c>
      <c r="H268" s="49">
        <f t="shared" si="41"/>
        <v>5572.5</v>
      </c>
      <c r="I268" s="62">
        <f>I269+I271</f>
        <v>0</v>
      </c>
      <c r="J268" s="49">
        <f t="shared" si="40"/>
        <v>5572.5</v>
      </c>
      <c r="K268" s="62">
        <f>K269+K271</f>
        <v>0</v>
      </c>
      <c r="L268" s="49">
        <f t="shared" si="39"/>
        <v>5572.5</v>
      </c>
      <c r="M268" s="62">
        <f>M269+M271</f>
        <v>0</v>
      </c>
      <c r="N268" s="49">
        <f t="shared" si="38"/>
        <v>5572.5</v>
      </c>
    </row>
    <row r="269" spans="1:14" ht="56.25" customHeight="1" x14ac:dyDescent="0.2">
      <c r="A269" s="50" t="str">
        <f ca="1">IF(ISERROR(MATCH(E269,Код_КВР,0)),"",INDIRECT(ADDRESS(MATCH(E269,Код_КВР,0)+1,2,,,"КВР")))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9" s="79" t="s">
        <v>267</v>
      </c>
      <c r="C269" s="65" t="s">
        <v>79</v>
      </c>
      <c r="D269" s="46" t="s">
        <v>73</v>
      </c>
      <c r="E269" s="26">
        <v>100</v>
      </c>
      <c r="F269" s="62">
        <f>F270</f>
        <v>5561</v>
      </c>
      <c r="G269" s="62">
        <f>G270</f>
        <v>0</v>
      </c>
      <c r="H269" s="49">
        <f t="shared" si="41"/>
        <v>5561</v>
      </c>
      <c r="I269" s="62">
        <f>I270</f>
        <v>0</v>
      </c>
      <c r="J269" s="49">
        <f t="shared" si="40"/>
        <v>5561</v>
      </c>
      <c r="K269" s="62">
        <f>K270</f>
        <v>0</v>
      </c>
      <c r="L269" s="49">
        <f t="shared" si="39"/>
        <v>5561</v>
      </c>
      <c r="M269" s="62">
        <f>M270</f>
        <v>0</v>
      </c>
      <c r="N269" s="49">
        <f t="shared" si="38"/>
        <v>5561</v>
      </c>
    </row>
    <row r="270" spans="1:14" ht="27" customHeight="1" x14ac:dyDescent="0.2">
      <c r="A270" s="50" t="str">
        <f ca="1">IF(ISERROR(MATCH(E270,Код_КВР,0)),"",INDIRECT(ADDRESS(MATCH(E270,Код_КВР,0)+1,2,,,"КВР")))</f>
        <v>Расходы на выплаты персоналу государственных (муниципальных) органов</v>
      </c>
      <c r="B270" s="79" t="s">
        <v>267</v>
      </c>
      <c r="C270" s="65" t="s">
        <v>79</v>
      </c>
      <c r="D270" s="46" t="s">
        <v>73</v>
      </c>
      <c r="E270" s="26">
        <v>120</v>
      </c>
      <c r="F270" s="62">
        <f>'прил. 8'!G1041</f>
        <v>5561</v>
      </c>
      <c r="G270" s="62">
        <f>'прил. 8'!H1041</f>
        <v>0</v>
      </c>
      <c r="H270" s="49">
        <f t="shared" si="41"/>
        <v>5561</v>
      </c>
      <c r="I270" s="62">
        <f>'прил. 8'!J1041</f>
        <v>0</v>
      </c>
      <c r="J270" s="49">
        <f t="shared" si="40"/>
        <v>5561</v>
      </c>
      <c r="K270" s="62">
        <f>'прил. 8'!L1041</f>
        <v>0</v>
      </c>
      <c r="L270" s="49">
        <f t="shared" si="39"/>
        <v>5561</v>
      </c>
      <c r="M270" s="62">
        <f>'прил. 8'!N1041</f>
        <v>0</v>
      </c>
      <c r="N270" s="49">
        <f t="shared" si="38"/>
        <v>5561</v>
      </c>
    </row>
    <row r="271" spans="1:14" ht="33" x14ac:dyDescent="0.2">
      <c r="A271" s="50" t="str">
        <f ca="1">IF(ISERROR(MATCH(E271,Код_КВР,0)),"",INDIRECT(ADDRESS(MATCH(E271,Код_КВР,0)+1,2,,,"КВР")))</f>
        <v>Закупка товаров, работ и услуг для обеспечения государственных (муниципальных) нужд</v>
      </c>
      <c r="B271" s="79" t="s">
        <v>267</v>
      </c>
      <c r="C271" s="65" t="s">
        <v>79</v>
      </c>
      <c r="D271" s="46" t="s">
        <v>73</v>
      </c>
      <c r="E271" s="26">
        <v>200</v>
      </c>
      <c r="F271" s="62">
        <f>F272</f>
        <v>11.5</v>
      </c>
      <c r="G271" s="62">
        <f>G272</f>
        <v>0</v>
      </c>
      <c r="H271" s="49">
        <f t="shared" si="41"/>
        <v>11.5</v>
      </c>
      <c r="I271" s="62">
        <f>I272</f>
        <v>0</v>
      </c>
      <c r="J271" s="49">
        <f t="shared" si="40"/>
        <v>11.5</v>
      </c>
      <c r="K271" s="62">
        <f>K272</f>
        <v>0</v>
      </c>
      <c r="L271" s="49">
        <f t="shared" si="39"/>
        <v>11.5</v>
      </c>
      <c r="M271" s="62">
        <f>M272</f>
        <v>0</v>
      </c>
      <c r="N271" s="49">
        <f t="shared" si="38"/>
        <v>11.5</v>
      </c>
    </row>
    <row r="272" spans="1:14" ht="33" x14ac:dyDescent="0.2">
      <c r="A272" s="50" t="str">
        <f ca="1">IF(ISERROR(MATCH(E272,Код_КВР,0)),"",INDIRECT(ADDRESS(MATCH(E272,Код_КВР,0)+1,2,,,"КВР")))</f>
        <v>Иные закупки товаров, работ и услуг для обеспечения государственных (муниципальных) нужд</v>
      </c>
      <c r="B272" s="79" t="s">
        <v>267</v>
      </c>
      <c r="C272" s="65" t="s">
        <v>79</v>
      </c>
      <c r="D272" s="46" t="s">
        <v>73</v>
      </c>
      <c r="E272" s="26">
        <v>240</v>
      </c>
      <c r="F272" s="62">
        <f>'прил. 8'!G1043</f>
        <v>11.5</v>
      </c>
      <c r="G272" s="62">
        <f>'прил. 8'!H1043</f>
        <v>0</v>
      </c>
      <c r="H272" s="49">
        <f t="shared" si="41"/>
        <v>11.5</v>
      </c>
      <c r="I272" s="62">
        <f>'прил. 8'!J1043</f>
        <v>0</v>
      </c>
      <c r="J272" s="49">
        <f t="shared" si="40"/>
        <v>11.5</v>
      </c>
      <c r="K272" s="62">
        <f>'прил. 8'!L1043</f>
        <v>0</v>
      </c>
      <c r="L272" s="49">
        <f t="shared" si="39"/>
        <v>11.5</v>
      </c>
      <c r="M272" s="62">
        <f>'прил. 8'!N1043</f>
        <v>0</v>
      </c>
      <c r="N272" s="49">
        <f t="shared" si="38"/>
        <v>11.5</v>
      </c>
    </row>
    <row r="273" spans="1:14" ht="33" x14ac:dyDescent="0.2">
      <c r="A273" s="50" t="str">
        <f ca="1">IF(ISERROR(MATCH(B273,Код_КЦСР,0)),"",INDIRECT(ADDRESS(MATCH(B273,Код_КЦСР,0)+1,2,,,"КЦСР")))</f>
        <v xml:space="preserve">Организация работы по ведению бухгалтерского (бюджетного) учета и отчетности и обеспечение деятельности МКУ «ЦБ ОУК» </v>
      </c>
      <c r="B273" s="79" t="s">
        <v>268</v>
      </c>
      <c r="C273" s="65"/>
      <c r="D273" s="46"/>
      <c r="E273" s="26"/>
      <c r="F273" s="62">
        <f t="shared" ref="F273:M274" si="45">F274</f>
        <v>61539.200000000004</v>
      </c>
      <c r="G273" s="62">
        <f t="shared" si="45"/>
        <v>0</v>
      </c>
      <c r="H273" s="49">
        <f t="shared" si="41"/>
        <v>61539.200000000004</v>
      </c>
      <c r="I273" s="62">
        <f t="shared" si="45"/>
        <v>0</v>
      </c>
      <c r="J273" s="49">
        <f t="shared" si="40"/>
        <v>61539.200000000004</v>
      </c>
      <c r="K273" s="62">
        <f t="shared" si="45"/>
        <v>-559.1</v>
      </c>
      <c r="L273" s="49">
        <f t="shared" si="39"/>
        <v>60980.100000000006</v>
      </c>
      <c r="M273" s="62">
        <f t="shared" si="45"/>
        <v>-188</v>
      </c>
      <c r="N273" s="49">
        <f t="shared" si="38"/>
        <v>60792.100000000006</v>
      </c>
    </row>
    <row r="274" spans="1:14" x14ac:dyDescent="0.2">
      <c r="A274" s="50" t="str">
        <f ca="1">IF(ISERROR(MATCH(C274,Код_Раздел,0)),"",INDIRECT(ADDRESS(MATCH(C274,Код_Раздел,0)+1,2,,,"Раздел")))</f>
        <v>Культура, кинематография</v>
      </c>
      <c r="B274" s="79" t="s">
        <v>268</v>
      </c>
      <c r="C274" s="65" t="s">
        <v>79</v>
      </c>
      <c r="D274" s="46"/>
      <c r="E274" s="26"/>
      <c r="F274" s="62">
        <f t="shared" si="45"/>
        <v>61539.200000000004</v>
      </c>
      <c r="G274" s="62">
        <f t="shared" si="45"/>
        <v>0</v>
      </c>
      <c r="H274" s="49">
        <f t="shared" si="41"/>
        <v>61539.200000000004</v>
      </c>
      <c r="I274" s="62">
        <f t="shared" si="45"/>
        <v>0</v>
      </c>
      <c r="J274" s="49">
        <f t="shared" si="40"/>
        <v>61539.200000000004</v>
      </c>
      <c r="K274" s="62">
        <f t="shared" si="45"/>
        <v>-559.1</v>
      </c>
      <c r="L274" s="49">
        <f t="shared" si="39"/>
        <v>60980.100000000006</v>
      </c>
      <c r="M274" s="62">
        <f t="shared" si="45"/>
        <v>-188</v>
      </c>
      <c r="N274" s="49">
        <f t="shared" ref="N274:N337" si="46">L274+M274</f>
        <v>60792.100000000006</v>
      </c>
    </row>
    <row r="275" spans="1:14" x14ac:dyDescent="0.2">
      <c r="A275" s="45" t="s">
        <v>34</v>
      </c>
      <c r="B275" s="79" t="s">
        <v>268</v>
      </c>
      <c r="C275" s="65" t="s">
        <v>79</v>
      </c>
      <c r="D275" s="46" t="s">
        <v>73</v>
      </c>
      <c r="E275" s="26"/>
      <c r="F275" s="62">
        <f>F276+F278+F280</f>
        <v>61539.200000000004</v>
      </c>
      <c r="G275" s="62">
        <f>G276+G278+G280</f>
        <v>0</v>
      </c>
      <c r="H275" s="49">
        <f t="shared" si="41"/>
        <v>61539.200000000004</v>
      </c>
      <c r="I275" s="62">
        <f>I276+I278+I280</f>
        <v>0</v>
      </c>
      <c r="J275" s="49">
        <f t="shared" si="40"/>
        <v>61539.200000000004</v>
      </c>
      <c r="K275" s="62">
        <f>K276+K278+K280</f>
        <v>-559.1</v>
      </c>
      <c r="L275" s="49">
        <f t="shared" si="39"/>
        <v>60980.100000000006</v>
      </c>
      <c r="M275" s="62">
        <f>M276+M278+M280</f>
        <v>-188</v>
      </c>
      <c r="N275" s="49">
        <f t="shared" si="46"/>
        <v>60792.100000000006</v>
      </c>
    </row>
    <row r="276" spans="1:14" ht="49.5" x14ac:dyDescent="0.2">
      <c r="A276" s="50" t="str">
        <f t="shared" ref="A276:A281" ca="1" si="47">IF(ISERROR(MATCH(E276,Код_КВР,0)),"",INDIRECT(ADDRESS(MATCH(E276,Код_КВР,0)+1,2,,,"КВР")))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6" s="79" t="s">
        <v>268</v>
      </c>
      <c r="C276" s="65" t="s">
        <v>79</v>
      </c>
      <c r="D276" s="46" t="s">
        <v>73</v>
      </c>
      <c r="E276" s="26">
        <v>100</v>
      </c>
      <c r="F276" s="62">
        <f>F277</f>
        <v>58800.200000000004</v>
      </c>
      <c r="G276" s="62">
        <f>G277</f>
        <v>0</v>
      </c>
      <c r="H276" s="49">
        <f t="shared" si="41"/>
        <v>58800.200000000004</v>
      </c>
      <c r="I276" s="62">
        <f>I277</f>
        <v>0</v>
      </c>
      <c r="J276" s="49">
        <f t="shared" si="40"/>
        <v>58800.200000000004</v>
      </c>
      <c r="K276" s="62">
        <f>K277</f>
        <v>-547.1</v>
      </c>
      <c r="L276" s="49">
        <f t="shared" si="39"/>
        <v>58253.100000000006</v>
      </c>
      <c r="M276" s="62">
        <f>M277</f>
        <v>-188</v>
      </c>
      <c r="N276" s="49">
        <f t="shared" si="46"/>
        <v>58065.100000000006</v>
      </c>
    </row>
    <row r="277" spans="1:14" x14ac:dyDescent="0.2">
      <c r="A277" s="50" t="str">
        <f t="shared" ca="1" si="47"/>
        <v>Расходы на выплаты персоналу казенных учреждений</v>
      </c>
      <c r="B277" s="79" t="s">
        <v>268</v>
      </c>
      <c r="C277" s="65" t="s">
        <v>79</v>
      </c>
      <c r="D277" s="46" t="s">
        <v>73</v>
      </c>
      <c r="E277" s="26">
        <v>110</v>
      </c>
      <c r="F277" s="62">
        <f>'прил. 8'!G1046</f>
        <v>58800.200000000004</v>
      </c>
      <c r="G277" s="62">
        <f>'прил. 8'!H1046</f>
        <v>0</v>
      </c>
      <c r="H277" s="49">
        <f t="shared" si="41"/>
        <v>58800.200000000004</v>
      </c>
      <c r="I277" s="62">
        <f>'прил. 8'!J1046</f>
        <v>0</v>
      </c>
      <c r="J277" s="49">
        <f t="shared" si="40"/>
        <v>58800.200000000004</v>
      </c>
      <c r="K277" s="62">
        <f>'прил. 8'!L1046</f>
        <v>-547.1</v>
      </c>
      <c r="L277" s="49">
        <f t="shared" si="39"/>
        <v>58253.100000000006</v>
      </c>
      <c r="M277" s="62">
        <f>'прил. 8'!N1046</f>
        <v>-188</v>
      </c>
      <c r="N277" s="49">
        <f t="shared" si="46"/>
        <v>58065.100000000006</v>
      </c>
    </row>
    <row r="278" spans="1:14" ht="33" x14ac:dyDescent="0.2">
      <c r="A278" s="50" t="str">
        <f t="shared" ca="1" si="47"/>
        <v>Закупка товаров, работ и услуг для обеспечения государственных (муниципальных) нужд</v>
      </c>
      <c r="B278" s="79" t="s">
        <v>268</v>
      </c>
      <c r="C278" s="65" t="s">
        <v>79</v>
      </c>
      <c r="D278" s="46" t="s">
        <v>73</v>
      </c>
      <c r="E278" s="26">
        <v>200</v>
      </c>
      <c r="F278" s="62">
        <f>F279</f>
        <v>2417.9</v>
      </c>
      <c r="G278" s="62">
        <f>G279</f>
        <v>0</v>
      </c>
      <c r="H278" s="49">
        <f t="shared" si="41"/>
        <v>2417.9</v>
      </c>
      <c r="I278" s="62">
        <f>I279</f>
        <v>0</v>
      </c>
      <c r="J278" s="49">
        <f t="shared" si="40"/>
        <v>2417.9</v>
      </c>
      <c r="K278" s="62">
        <f>K279</f>
        <v>-12</v>
      </c>
      <c r="L278" s="49">
        <f t="shared" si="39"/>
        <v>2405.9</v>
      </c>
      <c r="M278" s="62">
        <f>M279</f>
        <v>0</v>
      </c>
      <c r="N278" s="49">
        <f t="shared" si="46"/>
        <v>2405.9</v>
      </c>
    </row>
    <row r="279" spans="1:14" ht="33" x14ac:dyDescent="0.2">
      <c r="A279" s="50" t="str">
        <f t="shared" ca="1" si="47"/>
        <v>Иные закупки товаров, работ и услуг для обеспечения государственных (муниципальных) нужд</v>
      </c>
      <c r="B279" s="79" t="s">
        <v>268</v>
      </c>
      <c r="C279" s="65" t="s">
        <v>79</v>
      </c>
      <c r="D279" s="46" t="s">
        <v>73</v>
      </c>
      <c r="E279" s="26">
        <v>240</v>
      </c>
      <c r="F279" s="62">
        <f>'прил. 8'!G1048</f>
        <v>2417.9</v>
      </c>
      <c r="G279" s="62">
        <f>'прил. 8'!H1048</f>
        <v>0</v>
      </c>
      <c r="H279" s="49">
        <f t="shared" si="41"/>
        <v>2417.9</v>
      </c>
      <c r="I279" s="62">
        <f>'прил. 8'!J1048</f>
        <v>0</v>
      </c>
      <c r="J279" s="49">
        <f t="shared" si="40"/>
        <v>2417.9</v>
      </c>
      <c r="K279" s="62">
        <f>'прил. 8'!L1048</f>
        <v>-12</v>
      </c>
      <c r="L279" s="49">
        <f t="shared" si="39"/>
        <v>2405.9</v>
      </c>
      <c r="M279" s="62">
        <f>'прил. 8'!N1048</f>
        <v>0</v>
      </c>
      <c r="N279" s="49">
        <f t="shared" si="46"/>
        <v>2405.9</v>
      </c>
    </row>
    <row r="280" spans="1:14" x14ac:dyDescent="0.2">
      <c r="A280" s="50" t="str">
        <f t="shared" ca="1" si="47"/>
        <v>Иные бюджетные ассигнования</v>
      </c>
      <c r="B280" s="79" t="s">
        <v>268</v>
      </c>
      <c r="C280" s="65" t="s">
        <v>79</v>
      </c>
      <c r="D280" s="46" t="s">
        <v>73</v>
      </c>
      <c r="E280" s="26">
        <v>800</v>
      </c>
      <c r="F280" s="62">
        <f>F281</f>
        <v>321.10000000000002</v>
      </c>
      <c r="G280" s="62">
        <f>G281</f>
        <v>0</v>
      </c>
      <c r="H280" s="49">
        <f t="shared" si="41"/>
        <v>321.10000000000002</v>
      </c>
      <c r="I280" s="62">
        <f>I281</f>
        <v>0</v>
      </c>
      <c r="J280" s="49">
        <f t="shared" si="40"/>
        <v>321.10000000000002</v>
      </c>
      <c r="K280" s="62">
        <f>K281</f>
        <v>0</v>
      </c>
      <c r="L280" s="49">
        <f t="shared" si="39"/>
        <v>321.10000000000002</v>
      </c>
      <c r="M280" s="62">
        <f>M281</f>
        <v>0</v>
      </c>
      <c r="N280" s="49">
        <f t="shared" si="46"/>
        <v>321.10000000000002</v>
      </c>
    </row>
    <row r="281" spans="1:14" x14ac:dyDescent="0.2">
      <c r="A281" s="50" t="str">
        <f t="shared" ca="1" si="47"/>
        <v>Уплата налогов, сборов и иных платежей</v>
      </c>
      <c r="B281" s="79" t="s">
        <v>268</v>
      </c>
      <c r="C281" s="65" t="s">
        <v>79</v>
      </c>
      <c r="D281" s="46" t="s">
        <v>73</v>
      </c>
      <c r="E281" s="26">
        <v>850</v>
      </c>
      <c r="F281" s="62">
        <f>'прил. 8'!G1050</f>
        <v>321.10000000000002</v>
      </c>
      <c r="G281" s="62">
        <f>'прил. 8'!H1050</f>
        <v>0</v>
      </c>
      <c r="H281" s="49">
        <f t="shared" si="41"/>
        <v>321.10000000000002</v>
      </c>
      <c r="I281" s="62">
        <f>'прил. 8'!J1050</f>
        <v>0</v>
      </c>
      <c r="J281" s="49">
        <f t="shared" si="40"/>
        <v>321.10000000000002</v>
      </c>
      <c r="K281" s="62">
        <f>'прил. 8'!L1050</f>
        <v>0</v>
      </c>
      <c r="L281" s="49">
        <f t="shared" si="39"/>
        <v>321.10000000000002</v>
      </c>
      <c r="M281" s="62">
        <f>'прил. 8'!N1050</f>
        <v>0</v>
      </c>
      <c r="N281" s="49">
        <f t="shared" si="46"/>
        <v>321.10000000000002</v>
      </c>
    </row>
    <row r="282" spans="1:14" x14ac:dyDescent="0.2">
      <c r="A282" s="50" t="str">
        <f ca="1">IF(ISERROR(MATCH(B282,Код_КЦСР,0)),"",INDIRECT(ADDRESS(MATCH(B282,Код_КЦСР,0)+1,2,,,"КЦСР")))</f>
        <v>Наследие</v>
      </c>
      <c r="B282" s="79" t="s">
        <v>235</v>
      </c>
      <c r="C282" s="65"/>
      <c r="D282" s="46"/>
      <c r="E282" s="26"/>
      <c r="F282" s="62">
        <f>F283+F288+F293+F313+F318+F323+F298</f>
        <v>113636.4</v>
      </c>
      <c r="G282" s="62">
        <f>G283+G288+G293+G313+G318+G323+G298</f>
        <v>0</v>
      </c>
      <c r="H282" s="49">
        <f t="shared" si="41"/>
        <v>113636.4</v>
      </c>
      <c r="I282" s="62">
        <f>I283+I288+I293+I313+I318+I323+I298</f>
        <v>0</v>
      </c>
      <c r="J282" s="49">
        <f t="shared" si="40"/>
        <v>113636.4</v>
      </c>
      <c r="K282" s="62">
        <f>K283+K288+K293+K313+K318+K323+K298+K328</f>
        <v>1476.3</v>
      </c>
      <c r="L282" s="49">
        <f t="shared" si="39"/>
        <v>115112.7</v>
      </c>
      <c r="M282" s="62">
        <f>M283+M288+M293+M313+M318+M323+M298+M328</f>
        <v>0</v>
      </c>
      <c r="N282" s="49">
        <f t="shared" si="46"/>
        <v>115112.7</v>
      </c>
    </row>
    <row r="283" spans="1:14" ht="49.5" x14ac:dyDescent="0.2">
      <c r="A283" s="50" t="str">
        <f ca="1">IF(ISERROR(MATCH(B283,Код_КЦСР,0)),"",INDIRECT(ADDRESS(MATCH(B283,Код_КЦСР,0)+1,2,,,"КЦСР")))</f>
        <v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v>
      </c>
      <c r="B283" s="79" t="s">
        <v>236</v>
      </c>
      <c r="C283" s="65"/>
      <c r="D283" s="46"/>
      <c r="E283" s="26"/>
      <c r="F283" s="62">
        <f t="shared" ref="F283:M286" si="48">F284</f>
        <v>42593.599999999999</v>
      </c>
      <c r="G283" s="62">
        <f t="shared" si="48"/>
        <v>0</v>
      </c>
      <c r="H283" s="49">
        <f t="shared" si="41"/>
        <v>42593.599999999999</v>
      </c>
      <c r="I283" s="62">
        <f t="shared" si="48"/>
        <v>0</v>
      </c>
      <c r="J283" s="49">
        <f t="shared" si="40"/>
        <v>42593.599999999999</v>
      </c>
      <c r="K283" s="62">
        <f t="shared" si="48"/>
        <v>196.1</v>
      </c>
      <c r="L283" s="49">
        <f t="shared" si="39"/>
        <v>42789.7</v>
      </c>
      <c r="M283" s="62">
        <f t="shared" si="48"/>
        <v>0</v>
      </c>
      <c r="N283" s="49">
        <f t="shared" si="46"/>
        <v>42789.7</v>
      </c>
    </row>
    <row r="284" spans="1:14" x14ac:dyDescent="0.2">
      <c r="A284" s="50" t="str">
        <f ca="1">IF(ISERROR(MATCH(C284,Код_Раздел,0)),"",INDIRECT(ADDRESS(MATCH(C284,Код_Раздел,0)+1,2,,,"Раздел")))</f>
        <v>Культура, кинематография</v>
      </c>
      <c r="B284" s="79" t="s">
        <v>236</v>
      </c>
      <c r="C284" s="65" t="s">
        <v>79</v>
      </c>
      <c r="D284" s="46"/>
      <c r="E284" s="26"/>
      <c r="F284" s="62">
        <f t="shared" si="48"/>
        <v>42593.599999999999</v>
      </c>
      <c r="G284" s="62">
        <f t="shared" si="48"/>
        <v>0</v>
      </c>
      <c r="H284" s="49">
        <f t="shared" si="41"/>
        <v>42593.599999999999</v>
      </c>
      <c r="I284" s="62">
        <f t="shared" si="48"/>
        <v>0</v>
      </c>
      <c r="J284" s="49">
        <f t="shared" si="40"/>
        <v>42593.599999999999</v>
      </c>
      <c r="K284" s="62">
        <f t="shared" si="48"/>
        <v>196.1</v>
      </c>
      <c r="L284" s="49">
        <f t="shared" si="39"/>
        <v>42789.7</v>
      </c>
      <c r="M284" s="62">
        <f t="shared" si="48"/>
        <v>0</v>
      </c>
      <c r="N284" s="49">
        <f t="shared" si="46"/>
        <v>42789.7</v>
      </c>
    </row>
    <row r="285" spans="1:14" x14ac:dyDescent="0.2">
      <c r="A285" s="45" t="s">
        <v>49</v>
      </c>
      <c r="B285" s="79" t="s">
        <v>236</v>
      </c>
      <c r="C285" s="65" t="s">
        <v>79</v>
      </c>
      <c r="D285" s="46" t="s">
        <v>70</v>
      </c>
      <c r="E285" s="26"/>
      <c r="F285" s="62">
        <f t="shared" si="48"/>
        <v>42593.599999999999</v>
      </c>
      <c r="G285" s="62">
        <f t="shared" si="48"/>
        <v>0</v>
      </c>
      <c r="H285" s="49">
        <f t="shared" si="41"/>
        <v>42593.599999999999</v>
      </c>
      <c r="I285" s="62">
        <f t="shared" si="48"/>
        <v>0</v>
      </c>
      <c r="J285" s="49">
        <f t="shared" si="40"/>
        <v>42593.599999999999</v>
      </c>
      <c r="K285" s="62">
        <f t="shared" si="48"/>
        <v>196.1</v>
      </c>
      <c r="L285" s="49">
        <f t="shared" si="39"/>
        <v>42789.7</v>
      </c>
      <c r="M285" s="62">
        <f t="shared" si="48"/>
        <v>0</v>
      </c>
      <c r="N285" s="49">
        <f t="shared" si="46"/>
        <v>42789.7</v>
      </c>
    </row>
    <row r="286" spans="1:14" ht="33" x14ac:dyDescent="0.2">
      <c r="A286" s="50" t="str">
        <f ca="1">IF(ISERROR(MATCH(E286,Код_КВР,0)),"",INDIRECT(ADDRESS(MATCH(E286,Код_КВР,0)+1,2,,,"КВР")))</f>
        <v>Предоставление субсидий бюджетным, автономным учреждениям и иным некоммерческим организациям</v>
      </c>
      <c r="B286" s="79" t="s">
        <v>236</v>
      </c>
      <c r="C286" s="65" t="s">
        <v>79</v>
      </c>
      <c r="D286" s="46" t="s">
        <v>70</v>
      </c>
      <c r="E286" s="26">
        <v>600</v>
      </c>
      <c r="F286" s="62">
        <f t="shared" si="48"/>
        <v>42593.599999999999</v>
      </c>
      <c r="G286" s="62">
        <f t="shared" si="48"/>
        <v>0</v>
      </c>
      <c r="H286" s="49">
        <f t="shared" si="41"/>
        <v>42593.599999999999</v>
      </c>
      <c r="I286" s="62">
        <f t="shared" si="48"/>
        <v>0</v>
      </c>
      <c r="J286" s="49">
        <f t="shared" si="40"/>
        <v>42593.599999999999</v>
      </c>
      <c r="K286" s="62">
        <f t="shared" si="48"/>
        <v>196.1</v>
      </c>
      <c r="L286" s="49">
        <f t="shared" si="39"/>
        <v>42789.7</v>
      </c>
      <c r="M286" s="62">
        <f t="shared" si="48"/>
        <v>0</v>
      </c>
      <c r="N286" s="49">
        <f t="shared" si="46"/>
        <v>42789.7</v>
      </c>
    </row>
    <row r="287" spans="1:14" x14ac:dyDescent="0.2">
      <c r="A287" s="50" t="str">
        <f ca="1">IF(ISERROR(MATCH(E287,Код_КВР,0)),"",INDIRECT(ADDRESS(MATCH(E287,Код_КВР,0)+1,2,,,"КВР")))</f>
        <v>Субсидии бюджетным учреждениям</v>
      </c>
      <c r="B287" s="79" t="s">
        <v>236</v>
      </c>
      <c r="C287" s="65" t="s">
        <v>79</v>
      </c>
      <c r="D287" s="46" t="s">
        <v>70</v>
      </c>
      <c r="E287" s="26">
        <v>610</v>
      </c>
      <c r="F287" s="62">
        <f>'прил. 8'!G980</f>
        <v>42593.599999999999</v>
      </c>
      <c r="G287" s="62">
        <f>'прил. 8'!H980</f>
        <v>0</v>
      </c>
      <c r="H287" s="49">
        <f t="shared" si="41"/>
        <v>42593.599999999999</v>
      </c>
      <c r="I287" s="62">
        <f>'прил. 8'!J980</f>
        <v>0</v>
      </c>
      <c r="J287" s="49">
        <f t="shared" si="40"/>
        <v>42593.599999999999</v>
      </c>
      <c r="K287" s="62">
        <f>'прил. 8'!L980</f>
        <v>196.1</v>
      </c>
      <c r="L287" s="49">
        <f t="shared" si="39"/>
        <v>42789.7</v>
      </c>
      <c r="M287" s="62">
        <f>'прил. 8'!N980</f>
        <v>0</v>
      </c>
      <c r="N287" s="49">
        <f t="shared" si="46"/>
        <v>42789.7</v>
      </c>
    </row>
    <row r="288" spans="1:14" ht="33" x14ac:dyDescent="0.2">
      <c r="A288" s="50" t="str">
        <f ca="1">IF(ISERROR(MATCH(B288,Код_КЦСР,0)),"",INDIRECT(ADDRESS(MATCH(B288,Код_КЦСР,0)+1,2,,,"КЦСР")))</f>
        <v>Осуществление реставрации и консервации музейных предметов, музейных коллекций</v>
      </c>
      <c r="B288" s="79" t="s">
        <v>239</v>
      </c>
      <c r="C288" s="65"/>
      <c r="D288" s="46"/>
      <c r="E288" s="26"/>
      <c r="F288" s="62">
        <f t="shared" ref="F288:M291" si="49">F289</f>
        <v>2279.1999999999998</v>
      </c>
      <c r="G288" s="62">
        <f t="shared" si="49"/>
        <v>0</v>
      </c>
      <c r="H288" s="49">
        <f t="shared" si="41"/>
        <v>2279.1999999999998</v>
      </c>
      <c r="I288" s="62">
        <f t="shared" si="49"/>
        <v>0</v>
      </c>
      <c r="J288" s="49">
        <f t="shared" si="40"/>
        <v>2279.1999999999998</v>
      </c>
      <c r="K288" s="62">
        <f t="shared" si="49"/>
        <v>0</v>
      </c>
      <c r="L288" s="49">
        <f t="shared" si="39"/>
        <v>2279.1999999999998</v>
      </c>
      <c r="M288" s="62">
        <f t="shared" si="49"/>
        <v>0</v>
      </c>
      <c r="N288" s="49">
        <f t="shared" si="46"/>
        <v>2279.1999999999998</v>
      </c>
    </row>
    <row r="289" spans="1:14" x14ac:dyDescent="0.2">
      <c r="A289" s="50" t="str">
        <f ca="1">IF(ISERROR(MATCH(C289,Код_Раздел,0)),"",INDIRECT(ADDRESS(MATCH(C289,Код_Раздел,0)+1,2,,,"Раздел")))</f>
        <v>Культура, кинематография</v>
      </c>
      <c r="B289" s="79" t="s">
        <v>239</v>
      </c>
      <c r="C289" s="65" t="s">
        <v>79</v>
      </c>
      <c r="D289" s="46"/>
      <c r="E289" s="26"/>
      <c r="F289" s="62">
        <f t="shared" si="49"/>
        <v>2279.1999999999998</v>
      </c>
      <c r="G289" s="62">
        <f t="shared" si="49"/>
        <v>0</v>
      </c>
      <c r="H289" s="49">
        <f t="shared" si="41"/>
        <v>2279.1999999999998</v>
      </c>
      <c r="I289" s="62">
        <f t="shared" si="49"/>
        <v>0</v>
      </c>
      <c r="J289" s="49">
        <f t="shared" si="40"/>
        <v>2279.1999999999998</v>
      </c>
      <c r="K289" s="62">
        <f t="shared" si="49"/>
        <v>0</v>
      </c>
      <c r="L289" s="49">
        <f t="shared" si="39"/>
        <v>2279.1999999999998</v>
      </c>
      <c r="M289" s="62">
        <f t="shared" si="49"/>
        <v>0</v>
      </c>
      <c r="N289" s="49">
        <f t="shared" si="46"/>
        <v>2279.1999999999998</v>
      </c>
    </row>
    <row r="290" spans="1:14" x14ac:dyDescent="0.2">
      <c r="A290" s="45" t="s">
        <v>49</v>
      </c>
      <c r="B290" s="79" t="s">
        <v>239</v>
      </c>
      <c r="C290" s="65" t="s">
        <v>79</v>
      </c>
      <c r="D290" s="46" t="s">
        <v>70</v>
      </c>
      <c r="E290" s="26"/>
      <c r="F290" s="62">
        <f t="shared" si="49"/>
        <v>2279.1999999999998</v>
      </c>
      <c r="G290" s="62">
        <f t="shared" si="49"/>
        <v>0</v>
      </c>
      <c r="H290" s="49">
        <f t="shared" si="41"/>
        <v>2279.1999999999998</v>
      </c>
      <c r="I290" s="62">
        <f t="shared" si="49"/>
        <v>0</v>
      </c>
      <c r="J290" s="49">
        <f t="shared" si="40"/>
        <v>2279.1999999999998</v>
      </c>
      <c r="K290" s="62">
        <f t="shared" si="49"/>
        <v>0</v>
      </c>
      <c r="L290" s="49">
        <f t="shared" si="39"/>
        <v>2279.1999999999998</v>
      </c>
      <c r="M290" s="62">
        <f t="shared" si="49"/>
        <v>0</v>
      </c>
      <c r="N290" s="49">
        <f t="shared" si="46"/>
        <v>2279.1999999999998</v>
      </c>
    </row>
    <row r="291" spans="1:14" ht="33" x14ac:dyDescent="0.2">
      <c r="A291" s="50" t="str">
        <f ca="1">IF(ISERROR(MATCH(E291,Код_КВР,0)),"",INDIRECT(ADDRESS(MATCH(E291,Код_КВР,0)+1,2,,,"КВР")))</f>
        <v>Предоставление субсидий бюджетным, автономным учреждениям и иным некоммерческим организациям</v>
      </c>
      <c r="B291" s="79" t="s">
        <v>239</v>
      </c>
      <c r="C291" s="65" t="s">
        <v>79</v>
      </c>
      <c r="D291" s="46" t="s">
        <v>70</v>
      </c>
      <c r="E291" s="26">
        <v>600</v>
      </c>
      <c r="F291" s="62">
        <f t="shared" si="49"/>
        <v>2279.1999999999998</v>
      </c>
      <c r="G291" s="62">
        <f t="shared" si="49"/>
        <v>0</v>
      </c>
      <c r="H291" s="49">
        <f t="shared" si="41"/>
        <v>2279.1999999999998</v>
      </c>
      <c r="I291" s="62">
        <f t="shared" si="49"/>
        <v>0</v>
      </c>
      <c r="J291" s="49">
        <f t="shared" si="40"/>
        <v>2279.1999999999998</v>
      </c>
      <c r="K291" s="62">
        <f t="shared" si="49"/>
        <v>0</v>
      </c>
      <c r="L291" s="49">
        <f t="shared" si="39"/>
        <v>2279.1999999999998</v>
      </c>
      <c r="M291" s="62">
        <f t="shared" si="49"/>
        <v>0</v>
      </c>
      <c r="N291" s="49">
        <f t="shared" si="46"/>
        <v>2279.1999999999998</v>
      </c>
    </row>
    <row r="292" spans="1:14" x14ac:dyDescent="0.2">
      <c r="A292" s="50" t="str">
        <f ca="1">IF(ISERROR(MATCH(E292,Код_КВР,0)),"",INDIRECT(ADDRESS(MATCH(E292,Код_КВР,0)+1,2,,,"КВР")))</f>
        <v>Субсидии бюджетным учреждениям</v>
      </c>
      <c r="B292" s="79" t="s">
        <v>239</v>
      </c>
      <c r="C292" s="65" t="s">
        <v>79</v>
      </c>
      <c r="D292" s="46" t="s">
        <v>70</v>
      </c>
      <c r="E292" s="26">
        <v>610</v>
      </c>
      <c r="F292" s="62">
        <f>'прил. 8'!G983</f>
        <v>2279.1999999999998</v>
      </c>
      <c r="G292" s="62">
        <f>'прил. 8'!H983</f>
        <v>0</v>
      </c>
      <c r="H292" s="49">
        <f t="shared" si="41"/>
        <v>2279.1999999999998</v>
      </c>
      <c r="I292" s="62">
        <f>'прил. 8'!J983</f>
        <v>0</v>
      </c>
      <c r="J292" s="49">
        <f t="shared" si="40"/>
        <v>2279.1999999999998</v>
      </c>
      <c r="K292" s="62">
        <f>'прил. 8'!L983</f>
        <v>0</v>
      </c>
      <c r="L292" s="49">
        <f t="shared" si="39"/>
        <v>2279.1999999999998</v>
      </c>
      <c r="M292" s="62">
        <f>'прил. 8'!N983</f>
        <v>0</v>
      </c>
      <c r="N292" s="49">
        <f t="shared" si="46"/>
        <v>2279.1999999999998</v>
      </c>
    </row>
    <row r="293" spans="1:14" ht="33" x14ac:dyDescent="0.2">
      <c r="A293" s="50" t="str">
        <f ca="1">IF(ISERROR(MATCH(B293,Код_КЦСР,0)),"",INDIRECT(ADDRESS(MATCH(B293,Код_КЦСР,0)+1,2,,,"КЦСР")))</f>
        <v>Формирование, учет, изучение, обеспечение физического сохранения и безопасности музейных предметов, музейных коллекций</v>
      </c>
      <c r="B293" s="79" t="s">
        <v>240</v>
      </c>
      <c r="C293" s="65"/>
      <c r="D293" s="46"/>
      <c r="E293" s="26"/>
      <c r="F293" s="62">
        <f>F294</f>
        <v>5349.8</v>
      </c>
      <c r="G293" s="62">
        <f>G294</f>
        <v>0</v>
      </c>
      <c r="H293" s="49">
        <f t="shared" si="41"/>
        <v>5349.8</v>
      </c>
      <c r="I293" s="62">
        <f>I294</f>
        <v>0</v>
      </c>
      <c r="J293" s="49">
        <f t="shared" si="40"/>
        <v>5349.8</v>
      </c>
      <c r="K293" s="62">
        <f>K294</f>
        <v>0</v>
      </c>
      <c r="L293" s="49">
        <f t="shared" si="39"/>
        <v>5349.8</v>
      </c>
      <c r="M293" s="62">
        <f>M294</f>
        <v>0</v>
      </c>
      <c r="N293" s="49">
        <f t="shared" si="46"/>
        <v>5349.8</v>
      </c>
    </row>
    <row r="294" spans="1:14" x14ac:dyDescent="0.2">
      <c r="A294" s="50" t="str">
        <f ca="1">IF(ISERROR(MATCH(C294,Код_Раздел,0)),"",INDIRECT(ADDRESS(MATCH(C294,Код_Раздел,0)+1,2,,,"Раздел")))</f>
        <v>Культура, кинематография</v>
      </c>
      <c r="B294" s="79" t="s">
        <v>240</v>
      </c>
      <c r="C294" s="65" t="s">
        <v>79</v>
      </c>
      <c r="D294" s="46"/>
      <c r="E294" s="26"/>
      <c r="F294" s="62">
        <f t="shared" ref="F294:M296" si="50">F295</f>
        <v>5349.8</v>
      </c>
      <c r="G294" s="62">
        <f t="shared" si="50"/>
        <v>0</v>
      </c>
      <c r="H294" s="49">
        <f t="shared" si="41"/>
        <v>5349.8</v>
      </c>
      <c r="I294" s="62">
        <f t="shared" si="50"/>
        <v>0</v>
      </c>
      <c r="J294" s="49">
        <f t="shared" si="40"/>
        <v>5349.8</v>
      </c>
      <c r="K294" s="62">
        <f t="shared" si="50"/>
        <v>0</v>
      </c>
      <c r="L294" s="49">
        <f t="shared" si="39"/>
        <v>5349.8</v>
      </c>
      <c r="M294" s="62">
        <f t="shared" si="50"/>
        <v>0</v>
      </c>
      <c r="N294" s="49">
        <f t="shared" si="46"/>
        <v>5349.8</v>
      </c>
    </row>
    <row r="295" spans="1:14" x14ac:dyDescent="0.2">
      <c r="A295" s="45" t="s">
        <v>49</v>
      </c>
      <c r="B295" s="79" t="s">
        <v>240</v>
      </c>
      <c r="C295" s="65" t="s">
        <v>79</v>
      </c>
      <c r="D295" s="46" t="s">
        <v>70</v>
      </c>
      <c r="E295" s="26"/>
      <c r="F295" s="62">
        <f t="shared" si="50"/>
        <v>5349.8</v>
      </c>
      <c r="G295" s="62">
        <f t="shared" si="50"/>
        <v>0</v>
      </c>
      <c r="H295" s="49">
        <f t="shared" si="41"/>
        <v>5349.8</v>
      </c>
      <c r="I295" s="62">
        <f t="shared" si="50"/>
        <v>0</v>
      </c>
      <c r="J295" s="49">
        <f t="shared" si="40"/>
        <v>5349.8</v>
      </c>
      <c r="K295" s="62">
        <f t="shared" si="50"/>
        <v>0</v>
      </c>
      <c r="L295" s="49">
        <f t="shared" si="39"/>
        <v>5349.8</v>
      </c>
      <c r="M295" s="62">
        <f t="shared" si="50"/>
        <v>0</v>
      </c>
      <c r="N295" s="49">
        <f t="shared" si="46"/>
        <v>5349.8</v>
      </c>
    </row>
    <row r="296" spans="1:14" ht="33" x14ac:dyDescent="0.2">
      <c r="A296" s="50" t="str">
        <f ca="1">IF(ISERROR(MATCH(E296,Код_КВР,0)),"",INDIRECT(ADDRESS(MATCH(E296,Код_КВР,0)+1,2,,,"КВР")))</f>
        <v>Предоставление субсидий бюджетным, автономным учреждениям и иным некоммерческим организациям</v>
      </c>
      <c r="B296" s="79" t="s">
        <v>240</v>
      </c>
      <c r="C296" s="65" t="s">
        <v>79</v>
      </c>
      <c r="D296" s="46" t="s">
        <v>70</v>
      </c>
      <c r="E296" s="26">
        <v>600</v>
      </c>
      <c r="F296" s="62">
        <f t="shared" si="50"/>
        <v>5349.8</v>
      </c>
      <c r="G296" s="62">
        <f t="shared" si="50"/>
        <v>0</v>
      </c>
      <c r="H296" s="49">
        <f t="shared" si="41"/>
        <v>5349.8</v>
      </c>
      <c r="I296" s="62">
        <f t="shared" si="50"/>
        <v>0</v>
      </c>
      <c r="J296" s="49">
        <f t="shared" si="40"/>
        <v>5349.8</v>
      </c>
      <c r="K296" s="62">
        <f t="shared" si="50"/>
        <v>0</v>
      </c>
      <c r="L296" s="49">
        <f t="shared" si="39"/>
        <v>5349.8</v>
      </c>
      <c r="M296" s="62">
        <f t="shared" si="50"/>
        <v>0</v>
      </c>
      <c r="N296" s="49">
        <f t="shared" si="46"/>
        <v>5349.8</v>
      </c>
    </row>
    <row r="297" spans="1:14" x14ac:dyDescent="0.2">
      <c r="A297" s="50" t="str">
        <f ca="1">IF(ISERROR(MATCH(E297,Код_КВР,0)),"",INDIRECT(ADDRESS(MATCH(E297,Код_КВР,0)+1,2,,,"КВР")))</f>
        <v>Субсидии бюджетным учреждениям</v>
      </c>
      <c r="B297" s="79" t="s">
        <v>240</v>
      </c>
      <c r="C297" s="65" t="s">
        <v>79</v>
      </c>
      <c r="D297" s="46" t="s">
        <v>70</v>
      </c>
      <c r="E297" s="26">
        <v>610</v>
      </c>
      <c r="F297" s="62">
        <f>'прил. 8'!G986</f>
        <v>5349.8</v>
      </c>
      <c r="G297" s="62">
        <f>'прил. 8'!H986</f>
        <v>0</v>
      </c>
      <c r="H297" s="49">
        <f t="shared" si="41"/>
        <v>5349.8</v>
      </c>
      <c r="I297" s="62">
        <f>'прил. 8'!J986</f>
        <v>0</v>
      </c>
      <c r="J297" s="49">
        <f t="shared" si="40"/>
        <v>5349.8</v>
      </c>
      <c r="K297" s="62">
        <f>'прил. 8'!L986</f>
        <v>0</v>
      </c>
      <c r="L297" s="49">
        <f t="shared" ref="L297:L370" si="51">J297+K297</f>
        <v>5349.8</v>
      </c>
      <c r="M297" s="62">
        <f>'прил. 8'!N986</f>
        <v>0</v>
      </c>
      <c r="N297" s="49">
        <f t="shared" si="46"/>
        <v>5349.8</v>
      </c>
    </row>
    <row r="298" spans="1:14" x14ac:dyDescent="0.2">
      <c r="A298" s="50" t="str">
        <f ca="1">IF(ISERROR(MATCH(B298,Код_КЦСР,0)),"",INDIRECT(ADDRESS(MATCH(B298,Код_КЦСР,0)+1,2,,,"КЦСР")))</f>
        <v>Развитие музейного дела</v>
      </c>
      <c r="B298" s="79" t="s">
        <v>520</v>
      </c>
      <c r="C298" s="65"/>
      <c r="D298" s="46"/>
      <c r="E298" s="26"/>
      <c r="F298" s="62">
        <f>F299</f>
        <v>929</v>
      </c>
      <c r="G298" s="62">
        <f>G299</f>
        <v>0</v>
      </c>
      <c r="H298" s="49">
        <f t="shared" si="41"/>
        <v>929</v>
      </c>
      <c r="I298" s="62">
        <f>I299</f>
        <v>0</v>
      </c>
      <c r="J298" s="49">
        <f>J299</f>
        <v>929</v>
      </c>
      <c r="K298" s="62">
        <f>K299+K303+K308</f>
        <v>150</v>
      </c>
      <c r="L298" s="49">
        <f t="shared" si="51"/>
        <v>1079</v>
      </c>
      <c r="M298" s="62">
        <f>M299+M303+M308</f>
        <v>0</v>
      </c>
      <c r="N298" s="49">
        <f t="shared" si="46"/>
        <v>1079</v>
      </c>
    </row>
    <row r="299" spans="1:14" hidden="1" x14ac:dyDescent="0.2">
      <c r="A299" s="50" t="str">
        <f ca="1">IF(ISERROR(MATCH(C299,Код_Раздел,0)),"",INDIRECT(ADDRESS(MATCH(C299,Код_Раздел,0)+1,2,,,"Раздел")))</f>
        <v>Культура, кинематография</v>
      </c>
      <c r="B299" s="79" t="s">
        <v>520</v>
      </c>
      <c r="C299" s="65" t="s">
        <v>79</v>
      </c>
      <c r="D299" s="46"/>
      <c r="E299" s="26"/>
      <c r="F299" s="62">
        <f t="shared" ref="F299:M301" si="52">F300</f>
        <v>929</v>
      </c>
      <c r="G299" s="62">
        <f t="shared" si="52"/>
        <v>0</v>
      </c>
      <c r="H299" s="49">
        <f t="shared" si="41"/>
        <v>929</v>
      </c>
      <c r="I299" s="62">
        <f t="shared" si="52"/>
        <v>0</v>
      </c>
      <c r="J299" s="49">
        <f t="shared" ref="J299:J376" si="53">H299+I299</f>
        <v>929</v>
      </c>
      <c r="K299" s="62">
        <f t="shared" si="52"/>
        <v>-929</v>
      </c>
      <c r="L299" s="49">
        <f t="shared" si="51"/>
        <v>0</v>
      </c>
      <c r="M299" s="62">
        <f t="shared" si="52"/>
        <v>0</v>
      </c>
      <c r="N299" s="49">
        <f t="shared" si="46"/>
        <v>0</v>
      </c>
    </row>
    <row r="300" spans="1:14" hidden="1" x14ac:dyDescent="0.2">
      <c r="A300" s="45" t="s">
        <v>49</v>
      </c>
      <c r="B300" s="79" t="s">
        <v>520</v>
      </c>
      <c r="C300" s="65" t="s">
        <v>79</v>
      </c>
      <c r="D300" s="46" t="s">
        <v>70</v>
      </c>
      <c r="E300" s="26"/>
      <c r="F300" s="62">
        <f t="shared" si="52"/>
        <v>929</v>
      </c>
      <c r="G300" s="62">
        <f t="shared" si="52"/>
        <v>0</v>
      </c>
      <c r="H300" s="49">
        <f t="shared" si="41"/>
        <v>929</v>
      </c>
      <c r="I300" s="62">
        <f t="shared" si="52"/>
        <v>0</v>
      </c>
      <c r="J300" s="49">
        <f t="shared" si="53"/>
        <v>929</v>
      </c>
      <c r="K300" s="62">
        <f t="shared" si="52"/>
        <v>-929</v>
      </c>
      <c r="L300" s="49">
        <f t="shared" si="51"/>
        <v>0</v>
      </c>
      <c r="M300" s="62">
        <f t="shared" si="52"/>
        <v>0</v>
      </c>
      <c r="N300" s="49">
        <f t="shared" si="46"/>
        <v>0</v>
      </c>
    </row>
    <row r="301" spans="1:14" ht="33" hidden="1" x14ac:dyDescent="0.2">
      <c r="A301" s="50" t="str">
        <f ca="1">IF(ISERROR(MATCH(E301,Код_КВР,0)),"",INDIRECT(ADDRESS(MATCH(E301,Код_КВР,0)+1,2,,,"КВР")))</f>
        <v>Предоставление субсидий бюджетным, автономным учреждениям и иным некоммерческим организациям</v>
      </c>
      <c r="B301" s="79" t="s">
        <v>520</v>
      </c>
      <c r="C301" s="65" t="s">
        <v>79</v>
      </c>
      <c r="D301" s="46" t="s">
        <v>70</v>
      </c>
      <c r="E301" s="26">
        <v>600</v>
      </c>
      <c r="F301" s="62">
        <f t="shared" si="52"/>
        <v>929</v>
      </c>
      <c r="G301" s="62">
        <f t="shared" si="52"/>
        <v>0</v>
      </c>
      <c r="H301" s="49">
        <f t="shared" si="41"/>
        <v>929</v>
      </c>
      <c r="I301" s="62">
        <f t="shared" si="52"/>
        <v>0</v>
      </c>
      <c r="J301" s="49">
        <f t="shared" si="53"/>
        <v>929</v>
      </c>
      <c r="K301" s="62">
        <f t="shared" si="52"/>
        <v>-929</v>
      </c>
      <c r="L301" s="49">
        <f t="shared" si="51"/>
        <v>0</v>
      </c>
      <c r="M301" s="62">
        <f t="shared" si="52"/>
        <v>0</v>
      </c>
      <c r="N301" s="49">
        <f t="shared" si="46"/>
        <v>0</v>
      </c>
    </row>
    <row r="302" spans="1:14" hidden="1" x14ac:dyDescent="0.2">
      <c r="A302" s="50" t="str">
        <f ca="1">IF(ISERROR(MATCH(E302,Код_КВР,0)),"",INDIRECT(ADDRESS(MATCH(E302,Код_КВР,0)+1,2,,,"КВР")))</f>
        <v>Субсидии бюджетным учреждениям</v>
      </c>
      <c r="B302" s="79" t="s">
        <v>520</v>
      </c>
      <c r="C302" s="65" t="s">
        <v>79</v>
      </c>
      <c r="D302" s="46" t="s">
        <v>70</v>
      </c>
      <c r="E302" s="26">
        <v>610</v>
      </c>
      <c r="F302" s="62">
        <f>'прил. 8'!G989</f>
        <v>929</v>
      </c>
      <c r="G302" s="62">
        <f>'прил. 8'!H989</f>
        <v>0</v>
      </c>
      <c r="H302" s="49">
        <f t="shared" si="41"/>
        <v>929</v>
      </c>
      <c r="I302" s="62">
        <f>'прил. 8'!J989</f>
        <v>0</v>
      </c>
      <c r="J302" s="49">
        <f t="shared" si="53"/>
        <v>929</v>
      </c>
      <c r="K302" s="62">
        <f>'прил. 8'!L989</f>
        <v>-929</v>
      </c>
      <c r="L302" s="49">
        <f t="shared" si="51"/>
        <v>0</v>
      </c>
      <c r="M302" s="62">
        <f>'прил. 8'!N989</f>
        <v>0</v>
      </c>
      <c r="N302" s="49">
        <f t="shared" si="46"/>
        <v>0</v>
      </c>
    </row>
    <row r="303" spans="1:14" x14ac:dyDescent="0.2">
      <c r="A303" s="50" t="str">
        <f ca="1">IF(ISERROR(MATCH(B303,Код_КЦСР,0)),"",INDIRECT(ADDRESS(MATCH(B303,Код_КЦСР,0)+1,2,,,"КЦСР")))</f>
        <v>Развитие музейного дела, за счет средств городского бюджета</v>
      </c>
      <c r="B303" s="79" t="s">
        <v>697</v>
      </c>
      <c r="C303" s="65"/>
      <c r="D303" s="46"/>
      <c r="E303" s="26"/>
      <c r="F303" s="62"/>
      <c r="G303" s="62"/>
      <c r="H303" s="49"/>
      <c r="I303" s="62"/>
      <c r="J303" s="49"/>
      <c r="K303" s="62">
        <f>K304</f>
        <v>929</v>
      </c>
      <c r="L303" s="49">
        <f t="shared" si="51"/>
        <v>929</v>
      </c>
      <c r="M303" s="62">
        <f>M304</f>
        <v>0</v>
      </c>
      <c r="N303" s="49">
        <f t="shared" si="46"/>
        <v>929</v>
      </c>
    </row>
    <row r="304" spans="1:14" x14ac:dyDescent="0.2">
      <c r="A304" s="50" t="str">
        <f ca="1">IF(ISERROR(MATCH(C304,Код_Раздел,0)),"",INDIRECT(ADDRESS(MATCH(C304,Код_Раздел,0)+1,2,,,"Раздел")))</f>
        <v>Культура, кинематография</v>
      </c>
      <c r="B304" s="79" t="s">
        <v>697</v>
      </c>
      <c r="C304" s="65" t="s">
        <v>79</v>
      </c>
      <c r="D304" s="46"/>
      <c r="E304" s="26"/>
      <c r="F304" s="62"/>
      <c r="G304" s="62"/>
      <c r="H304" s="49"/>
      <c r="I304" s="62"/>
      <c r="J304" s="49"/>
      <c r="K304" s="62">
        <f>K305</f>
        <v>929</v>
      </c>
      <c r="L304" s="49">
        <f t="shared" si="51"/>
        <v>929</v>
      </c>
      <c r="M304" s="62">
        <f>M305</f>
        <v>0</v>
      </c>
      <c r="N304" s="49">
        <f t="shared" si="46"/>
        <v>929</v>
      </c>
    </row>
    <row r="305" spans="1:14" x14ac:dyDescent="0.2">
      <c r="A305" s="45" t="s">
        <v>49</v>
      </c>
      <c r="B305" s="79" t="s">
        <v>697</v>
      </c>
      <c r="C305" s="65" t="s">
        <v>79</v>
      </c>
      <c r="D305" s="46" t="s">
        <v>70</v>
      </c>
      <c r="E305" s="26"/>
      <c r="F305" s="62"/>
      <c r="G305" s="62"/>
      <c r="H305" s="49"/>
      <c r="I305" s="62"/>
      <c r="J305" s="49"/>
      <c r="K305" s="62">
        <f>K306</f>
        <v>929</v>
      </c>
      <c r="L305" s="49">
        <f t="shared" si="51"/>
        <v>929</v>
      </c>
      <c r="M305" s="62">
        <f>M306</f>
        <v>0</v>
      </c>
      <c r="N305" s="49">
        <f t="shared" si="46"/>
        <v>929</v>
      </c>
    </row>
    <row r="306" spans="1:14" ht="33" x14ac:dyDescent="0.2">
      <c r="A306" s="50" t="str">
        <f ca="1">IF(ISERROR(MATCH(E306,Код_КВР,0)),"",INDIRECT(ADDRESS(MATCH(E306,Код_КВР,0)+1,2,,,"КВР")))</f>
        <v>Предоставление субсидий бюджетным, автономным учреждениям и иным некоммерческим организациям</v>
      </c>
      <c r="B306" s="79" t="s">
        <v>697</v>
      </c>
      <c r="C306" s="65" t="s">
        <v>79</v>
      </c>
      <c r="D306" s="46" t="s">
        <v>70</v>
      </c>
      <c r="E306" s="26">
        <v>600</v>
      </c>
      <c r="F306" s="62"/>
      <c r="G306" s="62"/>
      <c r="H306" s="49"/>
      <c r="I306" s="62"/>
      <c r="J306" s="49"/>
      <c r="K306" s="62">
        <f>K307</f>
        <v>929</v>
      </c>
      <c r="L306" s="49">
        <f t="shared" si="51"/>
        <v>929</v>
      </c>
      <c r="M306" s="62">
        <f>M307</f>
        <v>0</v>
      </c>
      <c r="N306" s="49">
        <f t="shared" si="46"/>
        <v>929</v>
      </c>
    </row>
    <row r="307" spans="1:14" x14ac:dyDescent="0.2">
      <c r="A307" s="50" t="str">
        <f ca="1">IF(ISERROR(MATCH(E307,Код_КВР,0)),"",INDIRECT(ADDRESS(MATCH(E307,Код_КВР,0)+1,2,,,"КВР")))</f>
        <v>Субсидии бюджетным учреждениям</v>
      </c>
      <c r="B307" s="79" t="s">
        <v>697</v>
      </c>
      <c r="C307" s="65" t="s">
        <v>79</v>
      </c>
      <c r="D307" s="46" t="s">
        <v>70</v>
      </c>
      <c r="E307" s="26">
        <v>610</v>
      </c>
      <c r="F307" s="62"/>
      <c r="G307" s="62"/>
      <c r="H307" s="49"/>
      <c r="I307" s="62"/>
      <c r="J307" s="49"/>
      <c r="K307" s="62">
        <f>'прил. 8'!L992</f>
        <v>929</v>
      </c>
      <c r="L307" s="49">
        <f t="shared" si="51"/>
        <v>929</v>
      </c>
      <c r="M307" s="62">
        <f>'прил. 8'!N992</f>
        <v>0</v>
      </c>
      <c r="N307" s="49">
        <f t="shared" si="46"/>
        <v>929</v>
      </c>
    </row>
    <row r="308" spans="1:14" ht="37.5" customHeight="1" x14ac:dyDescent="0.2">
      <c r="A308" s="50" t="str">
        <f ca="1">IF(ISERROR(MATCH(B308,Код_КЦСР,0)),"",INDIRECT(ADDRESS(MATCH(B308,Код_КЦСР,0)+1,2,,,"КЦСР")))</f>
        <v>Иные межбюджетные трансферты на предоставление государственных грантов в сфере культуры, за счет средств областного бюджета</v>
      </c>
      <c r="B308" s="79" t="s">
        <v>699</v>
      </c>
      <c r="C308" s="65"/>
      <c r="D308" s="46"/>
      <c r="E308" s="26"/>
      <c r="F308" s="62"/>
      <c r="G308" s="62"/>
      <c r="H308" s="49"/>
      <c r="I308" s="62"/>
      <c r="J308" s="49"/>
      <c r="K308" s="62">
        <f>K309</f>
        <v>150</v>
      </c>
      <c r="L308" s="49">
        <f t="shared" ref="L308:L312" si="54">J308+K308</f>
        <v>150</v>
      </c>
      <c r="M308" s="62">
        <f>M309</f>
        <v>0</v>
      </c>
      <c r="N308" s="49">
        <f t="shared" si="46"/>
        <v>150</v>
      </c>
    </row>
    <row r="309" spans="1:14" x14ac:dyDescent="0.2">
      <c r="A309" s="50" t="str">
        <f ca="1">IF(ISERROR(MATCH(C309,Код_Раздел,0)),"",INDIRECT(ADDRESS(MATCH(C309,Код_Раздел,0)+1,2,,,"Раздел")))</f>
        <v>Культура, кинематография</v>
      </c>
      <c r="B309" s="79" t="s">
        <v>699</v>
      </c>
      <c r="C309" s="65" t="s">
        <v>79</v>
      </c>
      <c r="D309" s="46"/>
      <c r="E309" s="26"/>
      <c r="F309" s="62"/>
      <c r="G309" s="62"/>
      <c r="H309" s="49"/>
      <c r="I309" s="62"/>
      <c r="J309" s="49"/>
      <c r="K309" s="62">
        <f>K310</f>
        <v>150</v>
      </c>
      <c r="L309" s="49">
        <f t="shared" si="54"/>
        <v>150</v>
      </c>
      <c r="M309" s="62">
        <f>M310</f>
        <v>0</v>
      </c>
      <c r="N309" s="49">
        <f t="shared" si="46"/>
        <v>150</v>
      </c>
    </row>
    <row r="310" spans="1:14" x14ac:dyDescent="0.2">
      <c r="A310" s="45" t="s">
        <v>49</v>
      </c>
      <c r="B310" s="79" t="s">
        <v>699</v>
      </c>
      <c r="C310" s="65" t="s">
        <v>79</v>
      </c>
      <c r="D310" s="46" t="s">
        <v>70</v>
      </c>
      <c r="E310" s="26"/>
      <c r="F310" s="62"/>
      <c r="G310" s="62"/>
      <c r="H310" s="49"/>
      <c r="I310" s="62"/>
      <c r="J310" s="49"/>
      <c r="K310" s="62">
        <f>K311</f>
        <v>150</v>
      </c>
      <c r="L310" s="49">
        <f t="shared" si="54"/>
        <v>150</v>
      </c>
      <c r="M310" s="62">
        <f>M311</f>
        <v>0</v>
      </c>
      <c r="N310" s="49">
        <f t="shared" si="46"/>
        <v>150</v>
      </c>
    </row>
    <row r="311" spans="1:14" ht="33" x14ac:dyDescent="0.2">
      <c r="A311" s="50" t="str">
        <f ca="1">IF(ISERROR(MATCH(E311,Код_КВР,0)),"",INDIRECT(ADDRESS(MATCH(E311,Код_КВР,0)+1,2,,,"КВР")))</f>
        <v>Предоставление субсидий бюджетным, автономным учреждениям и иным некоммерческим организациям</v>
      </c>
      <c r="B311" s="79" t="s">
        <v>699</v>
      </c>
      <c r="C311" s="65" t="s">
        <v>79</v>
      </c>
      <c r="D311" s="46" t="s">
        <v>70</v>
      </c>
      <c r="E311" s="26">
        <v>600</v>
      </c>
      <c r="F311" s="62"/>
      <c r="G311" s="62"/>
      <c r="H311" s="49"/>
      <c r="I311" s="62"/>
      <c r="J311" s="49"/>
      <c r="K311" s="62">
        <f>K312</f>
        <v>150</v>
      </c>
      <c r="L311" s="49">
        <f t="shared" si="54"/>
        <v>150</v>
      </c>
      <c r="M311" s="62">
        <f>M312</f>
        <v>0</v>
      </c>
      <c r="N311" s="49">
        <f t="shared" si="46"/>
        <v>150</v>
      </c>
    </row>
    <row r="312" spans="1:14" x14ac:dyDescent="0.2">
      <c r="A312" s="50" t="str">
        <f ca="1">IF(ISERROR(MATCH(E312,Код_КВР,0)),"",INDIRECT(ADDRESS(MATCH(E312,Код_КВР,0)+1,2,,,"КВР")))</f>
        <v>Субсидии бюджетным учреждениям</v>
      </c>
      <c r="B312" s="79" t="s">
        <v>699</v>
      </c>
      <c r="C312" s="65" t="s">
        <v>79</v>
      </c>
      <c r="D312" s="46" t="s">
        <v>70</v>
      </c>
      <c r="E312" s="26">
        <v>610</v>
      </c>
      <c r="F312" s="62"/>
      <c r="G312" s="62"/>
      <c r="H312" s="49"/>
      <c r="I312" s="62"/>
      <c r="J312" s="49"/>
      <c r="K312" s="62">
        <f>'прил. 8'!L995</f>
        <v>150</v>
      </c>
      <c r="L312" s="49">
        <f t="shared" si="54"/>
        <v>150</v>
      </c>
      <c r="M312" s="62">
        <f>'прил. 8'!N995</f>
        <v>0</v>
      </c>
      <c r="N312" s="49">
        <f t="shared" si="46"/>
        <v>150</v>
      </c>
    </row>
    <row r="313" spans="1:14" ht="49.5" x14ac:dyDescent="0.2">
      <c r="A313" s="50" t="str">
        <f ca="1">IF(ISERROR(MATCH(B313,Код_КЦСР,0)),"",INDIRECT(ADDRESS(MATCH(B313,Код_КЦСР,0)+1,2,,,"КЦСР")))</f>
        <v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v>
      </c>
      <c r="B313" s="79" t="s">
        <v>242</v>
      </c>
      <c r="C313" s="65"/>
      <c r="D313" s="46"/>
      <c r="E313" s="26"/>
      <c r="F313" s="62">
        <f t="shared" ref="F313:M316" si="55">F314</f>
        <v>52086.3</v>
      </c>
      <c r="G313" s="62">
        <f t="shared" si="55"/>
        <v>0</v>
      </c>
      <c r="H313" s="49">
        <f t="shared" si="41"/>
        <v>52086.3</v>
      </c>
      <c r="I313" s="62">
        <f t="shared" si="55"/>
        <v>0</v>
      </c>
      <c r="J313" s="49">
        <f t="shared" si="53"/>
        <v>52086.3</v>
      </c>
      <c r="K313" s="62">
        <f t="shared" si="55"/>
        <v>648.09999999999991</v>
      </c>
      <c r="L313" s="49">
        <f t="shared" si="51"/>
        <v>52734.400000000001</v>
      </c>
      <c r="M313" s="62">
        <f t="shared" si="55"/>
        <v>0</v>
      </c>
      <c r="N313" s="49">
        <f t="shared" si="46"/>
        <v>52734.400000000001</v>
      </c>
    </row>
    <row r="314" spans="1:14" x14ac:dyDescent="0.2">
      <c r="A314" s="50" t="str">
        <f ca="1">IF(ISERROR(MATCH(C314,Код_Раздел,0)),"",INDIRECT(ADDRESS(MATCH(C314,Код_Раздел,0)+1,2,,,"Раздел")))</f>
        <v>Культура, кинематография</v>
      </c>
      <c r="B314" s="79" t="s">
        <v>242</v>
      </c>
      <c r="C314" s="65" t="s">
        <v>79</v>
      </c>
      <c r="D314" s="46"/>
      <c r="E314" s="26"/>
      <c r="F314" s="62">
        <f t="shared" si="55"/>
        <v>52086.3</v>
      </c>
      <c r="G314" s="62">
        <f t="shared" si="55"/>
        <v>0</v>
      </c>
      <c r="H314" s="49">
        <f t="shared" si="41"/>
        <v>52086.3</v>
      </c>
      <c r="I314" s="62">
        <f t="shared" si="55"/>
        <v>0</v>
      </c>
      <c r="J314" s="49">
        <f t="shared" si="53"/>
        <v>52086.3</v>
      </c>
      <c r="K314" s="62">
        <f t="shared" si="55"/>
        <v>648.09999999999991</v>
      </c>
      <c r="L314" s="49">
        <f t="shared" si="51"/>
        <v>52734.400000000001</v>
      </c>
      <c r="M314" s="62">
        <f t="shared" si="55"/>
        <v>0</v>
      </c>
      <c r="N314" s="49">
        <f t="shared" si="46"/>
        <v>52734.400000000001</v>
      </c>
    </row>
    <row r="315" spans="1:14" x14ac:dyDescent="0.2">
      <c r="A315" s="45" t="s">
        <v>49</v>
      </c>
      <c r="B315" s="79" t="s">
        <v>242</v>
      </c>
      <c r="C315" s="65" t="s">
        <v>79</v>
      </c>
      <c r="D315" s="46" t="s">
        <v>70</v>
      </c>
      <c r="E315" s="26"/>
      <c r="F315" s="62">
        <f t="shared" si="55"/>
        <v>52086.3</v>
      </c>
      <c r="G315" s="62">
        <f t="shared" si="55"/>
        <v>0</v>
      </c>
      <c r="H315" s="49">
        <f t="shared" si="41"/>
        <v>52086.3</v>
      </c>
      <c r="I315" s="62">
        <f t="shared" si="55"/>
        <v>0</v>
      </c>
      <c r="J315" s="49">
        <f t="shared" si="53"/>
        <v>52086.3</v>
      </c>
      <c r="K315" s="62">
        <f t="shared" si="55"/>
        <v>648.09999999999991</v>
      </c>
      <c r="L315" s="49">
        <f t="shared" si="51"/>
        <v>52734.400000000001</v>
      </c>
      <c r="M315" s="62">
        <f t="shared" si="55"/>
        <v>0</v>
      </c>
      <c r="N315" s="49">
        <f t="shared" si="46"/>
        <v>52734.400000000001</v>
      </c>
    </row>
    <row r="316" spans="1:14" ht="33" x14ac:dyDescent="0.2">
      <c r="A316" s="50" t="str">
        <f ca="1">IF(ISERROR(MATCH(E316,Код_КВР,0)),"",INDIRECT(ADDRESS(MATCH(E316,Код_КВР,0)+1,2,,,"КВР")))</f>
        <v>Предоставление субсидий бюджетным, автономным учреждениям и иным некоммерческим организациям</v>
      </c>
      <c r="B316" s="79" t="s">
        <v>242</v>
      </c>
      <c r="C316" s="65" t="s">
        <v>79</v>
      </c>
      <c r="D316" s="46" t="s">
        <v>70</v>
      </c>
      <c r="E316" s="26">
        <v>600</v>
      </c>
      <c r="F316" s="62">
        <f t="shared" si="55"/>
        <v>52086.3</v>
      </c>
      <c r="G316" s="62">
        <f t="shared" si="55"/>
        <v>0</v>
      </c>
      <c r="H316" s="49">
        <f t="shared" si="41"/>
        <v>52086.3</v>
      </c>
      <c r="I316" s="62">
        <f t="shared" si="55"/>
        <v>0</v>
      </c>
      <c r="J316" s="49">
        <f t="shared" si="53"/>
        <v>52086.3</v>
      </c>
      <c r="K316" s="62">
        <f t="shared" si="55"/>
        <v>648.09999999999991</v>
      </c>
      <c r="L316" s="49">
        <f t="shared" si="51"/>
        <v>52734.400000000001</v>
      </c>
      <c r="M316" s="62">
        <f t="shared" si="55"/>
        <v>0</v>
      </c>
      <c r="N316" s="49">
        <f t="shared" si="46"/>
        <v>52734.400000000001</v>
      </c>
    </row>
    <row r="317" spans="1:14" x14ac:dyDescent="0.2">
      <c r="A317" s="50" t="str">
        <f ca="1">IF(ISERROR(MATCH(E317,Код_КВР,0)),"",INDIRECT(ADDRESS(MATCH(E317,Код_КВР,0)+1,2,,,"КВР")))</f>
        <v>Субсидии бюджетным учреждениям</v>
      </c>
      <c r="B317" s="79" t="s">
        <v>242</v>
      </c>
      <c r="C317" s="65" t="s">
        <v>79</v>
      </c>
      <c r="D317" s="46" t="s">
        <v>70</v>
      </c>
      <c r="E317" s="26">
        <v>610</v>
      </c>
      <c r="F317" s="62">
        <f>'прил. 8'!G998</f>
        <v>52086.3</v>
      </c>
      <c r="G317" s="62">
        <f>'прил. 8'!H998</f>
        <v>0</v>
      </c>
      <c r="H317" s="49">
        <f t="shared" si="41"/>
        <v>52086.3</v>
      </c>
      <c r="I317" s="62">
        <f>'прил. 8'!J998</f>
        <v>0</v>
      </c>
      <c r="J317" s="49">
        <f t="shared" si="53"/>
        <v>52086.3</v>
      </c>
      <c r="K317" s="62">
        <f>'прил. 8'!L998</f>
        <v>648.09999999999991</v>
      </c>
      <c r="L317" s="49">
        <f t="shared" si="51"/>
        <v>52734.400000000001</v>
      </c>
      <c r="M317" s="62">
        <f>'прил. 8'!N998</f>
        <v>0</v>
      </c>
      <c r="N317" s="49">
        <f t="shared" si="46"/>
        <v>52734.400000000001</v>
      </c>
    </row>
    <row r="318" spans="1:14" x14ac:dyDescent="0.2">
      <c r="A318" s="50" t="str">
        <f ca="1">IF(ISERROR(MATCH(B318,Код_КЦСР,0)),"",INDIRECT(ADDRESS(MATCH(B318,Код_КЦСР,0)+1,2,,,"КЦСР")))</f>
        <v>Библиографическая обработка документов и создание каталогов</v>
      </c>
      <c r="B318" s="79" t="s">
        <v>244</v>
      </c>
      <c r="C318" s="65"/>
      <c r="D318" s="46"/>
      <c r="E318" s="26"/>
      <c r="F318" s="62">
        <f t="shared" ref="F318:M321" si="56">F319</f>
        <v>5505.1</v>
      </c>
      <c r="G318" s="62">
        <f t="shared" si="56"/>
        <v>0</v>
      </c>
      <c r="H318" s="49">
        <f t="shared" si="41"/>
        <v>5505.1</v>
      </c>
      <c r="I318" s="62">
        <f t="shared" si="56"/>
        <v>0</v>
      </c>
      <c r="J318" s="49">
        <f t="shared" si="53"/>
        <v>5505.1</v>
      </c>
      <c r="K318" s="62">
        <f t="shared" si="56"/>
        <v>0</v>
      </c>
      <c r="L318" s="49">
        <f t="shared" si="51"/>
        <v>5505.1</v>
      </c>
      <c r="M318" s="62">
        <f t="shared" si="56"/>
        <v>0</v>
      </c>
      <c r="N318" s="49">
        <f t="shared" si="46"/>
        <v>5505.1</v>
      </c>
    </row>
    <row r="319" spans="1:14" x14ac:dyDescent="0.2">
      <c r="A319" s="50" t="str">
        <f ca="1">IF(ISERROR(MATCH(C319,Код_Раздел,0)),"",INDIRECT(ADDRESS(MATCH(C319,Код_Раздел,0)+1,2,,,"Раздел")))</f>
        <v>Культура, кинематография</v>
      </c>
      <c r="B319" s="79" t="s">
        <v>244</v>
      </c>
      <c r="C319" s="65" t="s">
        <v>79</v>
      </c>
      <c r="D319" s="46"/>
      <c r="E319" s="26"/>
      <c r="F319" s="62">
        <f t="shared" si="56"/>
        <v>5505.1</v>
      </c>
      <c r="G319" s="62">
        <f t="shared" si="56"/>
        <v>0</v>
      </c>
      <c r="H319" s="49">
        <f t="shared" si="41"/>
        <v>5505.1</v>
      </c>
      <c r="I319" s="62">
        <f t="shared" si="56"/>
        <v>0</v>
      </c>
      <c r="J319" s="49">
        <f t="shared" si="53"/>
        <v>5505.1</v>
      </c>
      <c r="K319" s="62">
        <f t="shared" si="56"/>
        <v>0</v>
      </c>
      <c r="L319" s="49">
        <f t="shared" si="51"/>
        <v>5505.1</v>
      </c>
      <c r="M319" s="62">
        <f t="shared" si="56"/>
        <v>0</v>
      </c>
      <c r="N319" s="49">
        <f t="shared" si="46"/>
        <v>5505.1</v>
      </c>
    </row>
    <row r="320" spans="1:14" x14ac:dyDescent="0.2">
      <c r="A320" s="45" t="s">
        <v>49</v>
      </c>
      <c r="B320" s="79" t="s">
        <v>244</v>
      </c>
      <c r="C320" s="65" t="s">
        <v>79</v>
      </c>
      <c r="D320" s="46" t="s">
        <v>70</v>
      </c>
      <c r="E320" s="26"/>
      <c r="F320" s="62">
        <f t="shared" si="56"/>
        <v>5505.1</v>
      </c>
      <c r="G320" s="62">
        <f t="shared" si="56"/>
        <v>0</v>
      </c>
      <c r="H320" s="49">
        <f t="shared" si="41"/>
        <v>5505.1</v>
      </c>
      <c r="I320" s="62">
        <f t="shared" si="56"/>
        <v>0</v>
      </c>
      <c r="J320" s="49">
        <f t="shared" si="53"/>
        <v>5505.1</v>
      </c>
      <c r="K320" s="62">
        <f t="shared" si="56"/>
        <v>0</v>
      </c>
      <c r="L320" s="49">
        <f t="shared" si="51"/>
        <v>5505.1</v>
      </c>
      <c r="M320" s="62">
        <f t="shared" si="56"/>
        <v>0</v>
      </c>
      <c r="N320" s="49">
        <f t="shared" si="46"/>
        <v>5505.1</v>
      </c>
    </row>
    <row r="321" spans="1:14" ht="33" x14ac:dyDescent="0.2">
      <c r="A321" s="50" t="str">
        <f ca="1">IF(ISERROR(MATCH(E321,Код_КВР,0)),"",INDIRECT(ADDRESS(MATCH(E321,Код_КВР,0)+1,2,,,"КВР")))</f>
        <v>Предоставление субсидий бюджетным, автономным учреждениям и иным некоммерческим организациям</v>
      </c>
      <c r="B321" s="79" t="s">
        <v>244</v>
      </c>
      <c r="C321" s="65" t="s">
        <v>79</v>
      </c>
      <c r="D321" s="46" t="s">
        <v>70</v>
      </c>
      <c r="E321" s="26">
        <v>600</v>
      </c>
      <c r="F321" s="62">
        <f t="shared" si="56"/>
        <v>5505.1</v>
      </c>
      <c r="G321" s="62">
        <f t="shared" si="56"/>
        <v>0</v>
      </c>
      <c r="H321" s="49">
        <f t="shared" si="41"/>
        <v>5505.1</v>
      </c>
      <c r="I321" s="62">
        <f t="shared" si="56"/>
        <v>0</v>
      </c>
      <c r="J321" s="49">
        <f t="shared" si="53"/>
        <v>5505.1</v>
      </c>
      <c r="K321" s="62">
        <f t="shared" si="56"/>
        <v>0</v>
      </c>
      <c r="L321" s="49">
        <f t="shared" si="51"/>
        <v>5505.1</v>
      </c>
      <c r="M321" s="62">
        <f t="shared" si="56"/>
        <v>0</v>
      </c>
      <c r="N321" s="49">
        <f t="shared" si="46"/>
        <v>5505.1</v>
      </c>
    </row>
    <row r="322" spans="1:14" x14ac:dyDescent="0.2">
      <c r="A322" s="50" t="str">
        <f ca="1">IF(ISERROR(MATCH(E322,Код_КВР,0)),"",INDIRECT(ADDRESS(MATCH(E322,Код_КВР,0)+1,2,,,"КВР")))</f>
        <v>Субсидии бюджетным учреждениям</v>
      </c>
      <c r="B322" s="79" t="s">
        <v>244</v>
      </c>
      <c r="C322" s="65" t="s">
        <v>79</v>
      </c>
      <c r="D322" s="46" t="s">
        <v>70</v>
      </c>
      <c r="E322" s="26">
        <v>610</v>
      </c>
      <c r="F322" s="62">
        <f>'прил. 8'!G1001</f>
        <v>5505.1</v>
      </c>
      <c r="G322" s="62">
        <f>'прил. 8'!H1001</f>
        <v>0</v>
      </c>
      <c r="H322" s="49">
        <f t="shared" si="41"/>
        <v>5505.1</v>
      </c>
      <c r="I322" s="62">
        <f>'прил. 8'!J1001</f>
        <v>0</v>
      </c>
      <c r="J322" s="49">
        <f t="shared" si="53"/>
        <v>5505.1</v>
      </c>
      <c r="K322" s="62">
        <f>'прил. 8'!L1001</f>
        <v>0</v>
      </c>
      <c r="L322" s="49">
        <f t="shared" si="51"/>
        <v>5505.1</v>
      </c>
      <c r="M322" s="62">
        <f>'прил. 8'!N1001</f>
        <v>0</v>
      </c>
      <c r="N322" s="49">
        <f t="shared" si="46"/>
        <v>5505.1</v>
      </c>
    </row>
    <row r="323" spans="1:14" ht="33" x14ac:dyDescent="0.2">
      <c r="A323" s="50" t="str">
        <f ca="1">IF(ISERROR(MATCH(B323,Код_КЦСР,0)),"",INDIRECT(ADDRESS(MATCH(B323,Код_КЦСР,0)+1,2,,,"КЦСР")))</f>
        <v>Формирование, учет, изучение, обеспечение физического сохранения и безопасности фондов библиотеки</v>
      </c>
      <c r="B323" s="79" t="s">
        <v>246</v>
      </c>
      <c r="C323" s="65"/>
      <c r="D323" s="46"/>
      <c r="E323" s="26"/>
      <c r="F323" s="62">
        <f t="shared" ref="F323:M326" si="57">F324</f>
        <v>4893.3999999999996</v>
      </c>
      <c r="G323" s="62">
        <f t="shared" si="57"/>
        <v>0</v>
      </c>
      <c r="H323" s="49">
        <f t="shared" si="41"/>
        <v>4893.3999999999996</v>
      </c>
      <c r="I323" s="62">
        <f t="shared" si="57"/>
        <v>0</v>
      </c>
      <c r="J323" s="49">
        <f t="shared" si="53"/>
        <v>4893.3999999999996</v>
      </c>
      <c r="K323" s="62">
        <f t="shared" si="57"/>
        <v>0</v>
      </c>
      <c r="L323" s="49">
        <f t="shared" si="51"/>
        <v>4893.3999999999996</v>
      </c>
      <c r="M323" s="62">
        <f t="shared" si="57"/>
        <v>0</v>
      </c>
      <c r="N323" s="49">
        <f t="shared" si="46"/>
        <v>4893.3999999999996</v>
      </c>
    </row>
    <row r="324" spans="1:14" x14ac:dyDescent="0.2">
      <c r="A324" s="50" t="str">
        <f ca="1">IF(ISERROR(MATCH(C324,Код_Раздел,0)),"",INDIRECT(ADDRESS(MATCH(C324,Код_Раздел,0)+1,2,,,"Раздел")))</f>
        <v>Культура, кинематография</v>
      </c>
      <c r="B324" s="79" t="s">
        <v>246</v>
      </c>
      <c r="C324" s="65" t="s">
        <v>79</v>
      </c>
      <c r="D324" s="46"/>
      <c r="E324" s="26"/>
      <c r="F324" s="62">
        <f t="shared" si="57"/>
        <v>4893.3999999999996</v>
      </c>
      <c r="G324" s="62">
        <f t="shared" si="57"/>
        <v>0</v>
      </c>
      <c r="H324" s="49">
        <f t="shared" si="41"/>
        <v>4893.3999999999996</v>
      </c>
      <c r="I324" s="62">
        <f t="shared" si="57"/>
        <v>0</v>
      </c>
      <c r="J324" s="49">
        <f t="shared" si="53"/>
        <v>4893.3999999999996</v>
      </c>
      <c r="K324" s="62">
        <f t="shared" si="57"/>
        <v>0</v>
      </c>
      <c r="L324" s="49">
        <f t="shared" si="51"/>
        <v>4893.3999999999996</v>
      </c>
      <c r="M324" s="62">
        <f t="shared" si="57"/>
        <v>0</v>
      </c>
      <c r="N324" s="49">
        <f t="shared" si="46"/>
        <v>4893.3999999999996</v>
      </c>
    </row>
    <row r="325" spans="1:14" x14ac:dyDescent="0.2">
      <c r="A325" s="45" t="s">
        <v>49</v>
      </c>
      <c r="B325" s="79" t="s">
        <v>246</v>
      </c>
      <c r="C325" s="65" t="s">
        <v>79</v>
      </c>
      <c r="D325" s="46" t="s">
        <v>70</v>
      </c>
      <c r="E325" s="26"/>
      <c r="F325" s="62">
        <f t="shared" si="57"/>
        <v>4893.3999999999996</v>
      </c>
      <c r="G325" s="62">
        <f t="shared" si="57"/>
        <v>0</v>
      </c>
      <c r="H325" s="49">
        <f t="shared" si="41"/>
        <v>4893.3999999999996</v>
      </c>
      <c r="I325" s="62">
        <f t="shared" si="57"/>
        <v>0</v>
      </c>
      <c r="J325" s="49">
        <f t="shared" si="53"/>
        <v>4893.3999999999996</v>
      </c>
      <c r="K325" s="62">
        <f t="shared" si="57"/>
        <v>0</v>
      </c>
      <c r="L325" s="49">
        <f t="shared" si="51"/>
        <v>4893.3999999999996</v>
      </c>
      <c r="M325" s="62">
        <f t="shared" si="57"/>
        <v>0</v>
      </c>
      <c r="N325" s="49">
        <f t="shared" si="46"/>
        <v>4893.3999999999996</v>
      </c>
    </row>
    <row r="326" spans="1:14" ht="33" x14ac:dyDescent="0.2">
      <c r="A326" s="50" t="str">
        <f ca="1">IF(ISERROR(MATCH(E326,Код_КВР,0)),"",INDIRECT(ADDRESS(MATCH(E326,Код_КВР,0)+1,2,,,"КВР")))</f>
        <v>Предоставление субсидий бюджетным, автономным учреждениям и иным некоммерческим организациям</v>
      </c>
      <c r="B326" s="79" t="s">
        <v>246</v>
      </c>
      <c r="C326" s="65" t="s">
        <v>79</v>
      </c>
      <c r="D326" s="46" t="s">
        <v>70</v>
      </c>
      <c r="E326" s="26">
        <v>600</v>
      </c>
      <c r="F326" s="62">
        <f t="shared" si="57"/>
        <v>4893.3999999999996</v>
      </c>
      <c r="G326" s="62">
        <f t="shared" si="57"/>
        <v>0</v>
      </c>
      <c r="H326" s="49">
        <f t="shared" si="41"/>
        <v>4893.3999999999996</v>
      </c>
      <c r="I326" s="62">
        <f t="shared" si="57"/>
        <v>0</v>
      </c>
      <c r="J326" s="49">
        <f t="shared" si="53"/>
        <v>4893.3999999999996</v>
      </c>
      <c r="K326" s="62">
        <f t="shared" si="57"/>
        <v>0</v>
      </c>
      <c r="L326" s="49">
        <f t="shared" si="51"/>
        <v>4893.3999999999996</v>
      </c>
      <c r="M326" s="62">
        <f t="shared" si="57"/>
        <v>0</v>
      </c>
      <c r="N326" s="49">
        <f t="shared" si="46"/>
        <v>4893.3999999999996</v>
      </c>
    </row>
    <row r="327" spans="1:14" x14ac:dyDescent="0.2">
      <c r="A327" s="50" t="str">
        <f ca="1">IF(ISERROR(MATCH(E327,Код_КВР,0)),"",INDIRECT(ADDRESS(MATCH(E327,Код_КВР,0)+1,2,,,"КВР")))</f>
        <v>Субсидии бюджетным учреждениям</v>
      </c>
      <c r="B327" s="79" t="s">
        <v>246</v>
      </c>
      <c r="C327" s="65" t="s">
        <v>79</v>
      </c>
      <c r="D327" s="46" t="s">
        <v>70</v>
      </c>
      <c r="E327" s="26">
        <v>610</v>
      </c>
      <c r="F327" s="62">
        <f>'прил. 8'!G1004</f>
        <v>4893.3999999999996</v>
      </c>
      <c r="G327" s="62">
        <f>'прил. 8'!H1004</f>
        <v>0</v>
      </c>
      <c r="H327" s="49">
        <f t="shared" si="41"/>
        <v>4893.3999999999996</v>
      </c>
      <c r="I327" s="62">
        <f>'прил. 8'!J1004</f>
        <v>0</v>
      </c>
      <c r="J327" s="49">
        <f t="shared" si="53"/>
        <v>4893.3999999999996</v>
      </c>
      <c r="K327" s="62">
        <f>'прил. 8'!L1004</f>
        <v>0</v>
      </c>
      <c r="L327" s="49">
        <f t="shared" si="51"/>
        <v>4893.3999999999996</v>
      </c>
      <c r="M327" s="62">
        <f>'прил. 8'!N1004</f>
        <v>0</v>
      </c>
      <c r="N327" s="49">
        <f t="shared" si="46"/>
        <v>4893.3999999999996</v>
      </c>
    </row>
    <row r="328" spans="1:14" x14ac:dyDescent="0.2">
      <c r="A328" s="50" t="str">
        <f ca="1">IF(ISERROR(MATCH(B328,Код_КЦСР,0)),"",INDIRECT(ADDRESS(MATCH(B328,Код_КЦСР,0)+1,2,,,"КЦСР")))</f>
        <v>Развитие библиотечного дела</v>
      </c>
      <c r="B328" s="79" t="s">
        <v>688</v>
      </c>
      <c r="C328" s="65"/>
      <c r="D328" s="46"/>
      <c r="E328" s="26"/>
      <c r="F328" s="62"/>
      <c r="G328" s="62"/>
      <c r="H328" s="49"/>
      <c r="I328" s="62"/>
      <c r="J328" s="49"/>
      <c r="K328" s="62">
        <f>K329</f>
        <v>482.1</v>
      </c>
      <c r="L328" s="49">
        <f t="shared" si="51"/>
        <v>482.1</v>
      </c>
      <c r="M328" s="62">
        <f>M329</f>
        <v>0</v>
      </c>
      <c r="N328" s="49">
        <f t="shared" si="46"/>
        <v>482.1</v>
      </c>
    </row>
    <row r="329" spans="1:14" x14ac:dyDescent="0.2">
      <c r="A329" s="50" t="str">
        <f ca="1">IF(ISERROR(MATCH(C329,Код_Раздел,0)),"",INDIRECT(ADDRESS(MATCH(C329,Код_Раздел,0)+1,2,,,"Раздел")))</f>
        <v>Культура, кинематография</v>
      </c>
      <c r="B329" s="79" t="s">
        <v>688</v>
      </c>
      <c r="C329" s="65" t="s">
        <v>79</v>
      </c>
      <c r="D329" s="46"/>
      <c r="E329" s="26"/>
      <c r="F329" s="62"/>
      <c r="G329" s="62"/>
      <c r="H329" s="49"/>
      <c r="I329" s="62"/>
      <c r="J329" s="49"/>
      <c r="K329" s="62">
        <f>K330</f>
        <v>482.1</v>
      </c>
      <c r="L329" s="49">
        <f t="shared" si="51"/>
        <v>482.1</v>
      </c>
      <c r="M329" s="62">
        <f>M330</f>
        <v>0</v>
      </c>
      <c r="N329" s="49">
        <f t="shared" si="46"/>
        <v>482.1</v>
      </c>
    </row>
    <row r="330" spans="1:14" x14ac:dyDescent="0.2">
      <c r="A330" s="45" t="s">
        <v>49</v>
      </c>
      <c r="B330" s="79" t="s">
        <v>688</v>
      </c>
      <c r="C330" s="65" t="s">
        <v>79</v>
      </c>
      <c r="D330" s="46" t="s">
        <v>70</v>
      </c>
      <c r="E330" s="26"/>
      <c r="F330" s="62"/>
      <c r="G330" s="62"/>
      <c r="H330" s="49"/>
      <c r="I330" s="62"/>
      <c r="J330" s="49"/>
      <c r="K330" s="62">
        <f>K331</f>
        <v>482.1</v>
      </c>
      <c r="L330" s="49">
        <f t="shared" si="51"/>
        <v>482.1</v>
      </c>
      <c r="M330" s="62">
        <f>M331</f>
        <v>0</v>
      </c>
      <c r="N330" s="49">
        <f t="shared" si="46"/>
        <v>482.1</v>
      </c>
    </row>
    <row r="331" spans="1:14" ht="33" x14ac:dyDescent="0.2">
      <c r="A331" s="50" t="str">
        <f ca="1">IF(ISERROR(MATCH(E331,Код_КВР,0)),"",INDIRECT(ADDRESS(MATCH(E331,Код_КВР,0)+1,2,,,"КВР")))</f>
        <v>Предоставление субсидий бюджетным, автономным учреждениям и иным некоммерческим организациям</v>
      </c>
      <c r="B331" s="79" t="s">
        <v>688</v>
      </c>
      <c r="C331" s="65" t="s">
        <v>79</v>
      </c>
      <c r="D331" s="46" t="s">
        <v>70</v>
      </c>
      <c r="E331" s="26">
        <v>600</v>
      </c>
      <c r="F331" s="62"/>
      <c r="G331" s="62"/>
      <c r="H331" s="49"/>
      <c r="I331" s="62"/>
      <c r="J331" s="49"/>
      <c r="K331" s="62">
        <f>K332</f>
        <v>482.1</v>
      </c>
      <c r="L331" s="49">
        <f t="shared" si="51"/>
        <v>482.1</v>
      </c>
      <c r="M331" s="62">
        <f>M332</f>
        <v>0</v>
      </c>
      <c r="N331" s="49">
        <f t="shared" si="46"/>
        <v>482.1</v>
      </c>
    </row>
    <row r="332" spans="1:14" x14ac:dyDescent="0.2">
      <c r="A332" s="50" t="str">
        <f ca="1">IF(ISERROR(MATCH(E332,Код_КВР,0)),"",INDIRECT(ADDRESS(MATCH(E332,Код_КВР,0)+1,2,,,"КВР")))</f>
        <v>Субсидии бюджетным учреждениям</v>
      </c>
      <c r="B332" s="79" t="s">
        <v>688</v>
      </c>
      <c r="C332" s="65" t="s">
        <v>79</v>
      </c>
      <c r="D332" s="46" t="s">
        <v>70</v>
      </c>
      <c r="E332" s="26">
        <v>610</v>
      </c>
      <c r="F332" s="62"/>
      <c r="G332" s="62"/>
      <c r="H332" s="49"/>
      <c r="I332" s="62"/>
      <c r="J332" s="49"/>
      <c r="K332" s="62">
        <f>'прил. 8'!L1007</f>
        <v>482.1</v>
      </c>
      <c r="L332" s="49">
        <f t="shared" si="51"/>
        <v>482.1</v>
      </c>
      <c r="M332" s="62">
        <f>'прил. 8'!N1007</f>
        <v>0</v>
      </c>
      <c r="N332" s="49">
        <f t="shared" si="46"/>
        <v>482.1</v>
      </c>
    </row>
    <row r="333" spans="1:14" x14ac:dyDescent="0.2">
      <c r="A333" s="50" t="str">
        <f ca="1">IF(ISERROR(MATCH(B333,Код_КЦСР,0)),"",INDIRECT(ADDRESS(MATCH(B333,Код_КЦСР,0)+1,2,,,"КЦСР")))</f>
        <v>Искусство</v>
      </c>
      <c r="B333" s="79" t="s">
        <v>248</v>
      </c>
      <c r="C333" s="65"/>
      <c r="D333" s="46"/>
      <c r="E333" s="26"/>
      <c r="F333" s="62">
        <f>F334+F340+F345+F350</f>
        <v>205216.99999999994</v>
      </c>
      <c r="G333" s="62">
        <f>G334+G340+G345+G350</f>
        <v>0</v>
      </c>
      <c r="H333" s="49">
        <f t="shared" si="41"/>
        <v>205216.99999999994</v>
      </c>
      <c r="I333" s="62">
        <f>I334+I340+I345+I350</f>
        <v>0</v>
      </c>
      <c r="J333" s="49">
        <f t="shared" si="53"/>
        <v>205216.99999999994</v>
      </c>
      <c r="K333" s="62">
        <f>K334+K340+K345+K350</f>
        <v>106.9</v>
      </c>
      <c r="L333" s="49">
        <f t="shared" si="51"/>
        <v>205323.89999999994</v>
      </c>
      <c r="M333" s="62">
        <f>M334+M340+M345+M350</f>
        <v>94</v>
      </c>
      <c r="N333" s="49">
        <f t="shared" si="46"/>
        <v>205417.89999999994</v>
      </c>
    </row>
    <row r="334" spans="1:14" ht="33" x14ac:dyDescent="0.2">
      <c r="A334" s="50" t="str">
        <f ca="1">IF(ISERROR(MATCH(B334,Код_КЦСР,0)),"",INDIRECT(ADDRESS(MATCH(B334,Код_КЦСР,0)+1,2,,,"КЦСР")))</f>
        <v>Оказание муниципальных услуг в области театрально-концертного дела и обеспечение деятельности муниципальных учреждений культуры</v>
      </c>
      <c r="B334" s="79" t="s">
        <v>250</v>
      </c>
      <c r="C334" s="65"/>
      <c r="D334" s="46"/>
      <c r="E334" s="26"/>
      <c r="F334" s="62">
        <f t="shared" ref="F334:M336" si="58">F335</f>
        <v>103488.69999999998</v>
      </c>
      <c r="G334" s="62">
        <f t="shared" si="58"/>
        <v>0</v>
      </c>
      <c r="H334" s="49">
        <f t="shared" si="41"/>
        <v>103488.69999999998</v>
      </c>
      <c r="I334" s="62">
        <f t="shared" si="58"/>
        <v>0</v>
      </c>
      <c r="J334" s="49">
        <f t="shared" si="53"/>
        <v>103488.69999999998</v>
      </c>
      <c r="K334" s="62">
        <f t="shared" si="58"/>
        <v>106.9</v>
      </c>
      <c r="L334" s="49">
        <f t="shared" si="51"/>
        <v>103595.59999999998</v>
      </c>
      <c r="M334" s="62">
        <f t="shared" si="58"/>
        <v>94</v>
      </c>
      <c r="N334" s="49">
        <f t="shared" si="46"/>
        <v>103689.59999999998</v>
      </c>
    </row>
    <row r="335" spans="1:14" x14ac:dyDescent="0.2">
      <c r="A335" s="50" t="str">
        <f ca="1">IF(ISERROR(MATCH(C335,Код_Раздел,0)),"",INDIRECT(ADDRESS(MATCH(C335,Код_Раздел,0)+1,2,,,"Раздел")))</f>
        <v>Культура, кинематография</v>
      </c>
      <c r="B335" s="79" t="s">
        <v>250</v>
      </c>
      <c r="C335" s="65" t="s">
        <v>79</v>
      </c>
      <c r="D335" s="46"/>
      <c r="E335" s="26"/>
      <c r="F335" s="62">
        <f t="shared" si="58"/>
        <v>103488.69999999998</v>
      </c>
      <c r="G335" s="62">
        <f t="shared" si="58"/>
        <v>0</v>
      </c>
      <c r="H335" s="49">
        <f t="shared" si="41"/>
        <v>103488.69999999998</v>
      </c>
      <c r="I335" s="62">
        <f t="shared" si="58"/>
        <v>0</v>
      </c>
      <c r="J335" s="49">
        <f t="shared" si="53"/>
        <v>103488.69999999998</v>
      </c>
      <c r="K335" s="62">
        <f t="shared" si="58"/>
        <v>106.9</v>
      </c>
      <c r="L335" s="49">
        <f t="shared" si="51"/>
        <v>103595.59999999998</v>
      </c>
      <c r="M335" s="62">
        <f t="shared" si="58"/>
        <v>94</v>
      </c>
      <c r="N335" s="49">
        <f t="shared" si="46"/>
        <v>103689.59999999998</v>
      </c>
    </row>
    <row r="336" spans="1:14" x14ac:dyDescent="0.2">
      <c r="A336" s="45" t="s">
        <v>49</v>
      </c>
      <c r="B336" s="79" t="s">
        <v>250</v>
      </c>
      <c r="C336" s="65" t="s">
        <v>79</v>
      </c>
      <c r="D336" s="46" t="s">
        <v>70</v>
      </c>
      <c r="E336" s="26"/>
      <c r="F336" s="62">
        <f t="shared" si="58"/>
        <v>103488.69999999998</v>
      </c>
      <c r="G336" s="62">
        <f t="shared" si="58"/>
        <v>0</v>
      </c>
      <c r="H336" s="49">
        <f t="shared" ref="H336:H399" si="59">F336+G336</f>
        <v>103488.69999999998</v>
      </c>
      <c r="I336" s="62">
        <f t="shared" si="58"/>
        <v>0</v>
      </c>
      <c r="J336" s="49">
        <f t="shared" si="53"/>
        <v>103488.69999999998</v>
      </c>
      <c r="K336" s="62">
        <f t="shared" si="58"/>
        <v>106.9</v>
      </c>
      <c r="L336" s="49">
        <f t="shared" si="51"/>
        <v>103595.59999999998</v>
      </c>
      <c r="M336" s="62">
        <f t="shared" si="58"/>
        <v>94</v>
      </c>
      <c r="N336" s="49">
        <f t="shared" si="46"/>
        <v>103689.59999999998</v>
      </c>
    </row>
    <row r="337" spans="1:14" ht="33" x14ac:dyDescent="0.2">
      <c r="A337" s="50" t="str">
        <f ca="1">IF(ISERROR(MATCH(E337,Код_КВР,0)),"",INDIRECT(ADDRESS(MATCH(E337,Код_КВР,0)+1,2,,,"КВР")))</f>
        <v>Предоставление субсидий бюджетным, автономным учреждениям и иным некоммерческим организациям</v>
      </c>
      <c r="B337" s="79" t="s">
        <v>250</v>
      </c>
      <c r="C337" s="65" t="s">
        <v>79</v>
      </c>
      <c r="D337" s="46" t="s">
        <v>70</v>
      </c>
      <c r="E337" s="26">
        <v>600</v>
      </c>
      <c r="F337" s="62">
        <f>F338+F339</f>
        <v>103488.69999999998</v>
      </c>
      <c r="G337" s="62">
        <f>G338+G339</f>
        <v>0</v>
      </c>
      <c r="H337" s="49">
        <f t="shared" si="59"/>
        <v>103488.69999999998</v>
      </c>
      <c r="I337" s="62">
        <f>I338+I339</f>
        <v>0</v>
      </c>
      <c r="J337" s="49">
        <f t="shared" si="53"/>
        <v>103488.69999999998</v>
      </c>
      <c r="K337" s="62">
        <f>K338+K339</f>
        <v>106.9</v>
      </c>
      <c r="L337" s="49">
        <f t="shared" si="51"/>
        <v>103595.59999999998</v>
      </c>
      <c r="M337" s="62">
        <f>M338+M339</f>
        <v>94</v>
      </c>
      <c r="N337" s="49">
        <f t="shared" si="46"/>
        <v>103689.59999999998</v>
      </c>
    </row>
    <row r="338" spans="1:14" x14ac:dyDescent="0.2">
      <c r="A338" s="50" t="str">
        <f ca="1">IF(ISERROR(MATCH(E338,Код_КВР,0)),"",INDIRECT(ADDRESS(MATCH(E338,Код_КВР,0)+1,2,,,"КВР")))</f>
        <v>Субсидии бюджетным учреждениям</v>
      </c>
      <c r="B338" s="79" t="s">
        <v>250</v>
      </c>
      <c r="C338" s="65" t="s">
        <v>79</v>
      </c>
      <c r="D338" s="46" t="s">
        <v>70</v>
      </c>
      <c r="E338" s="26">
        <v>610</v>
      </c>
      <c r="F338" s="62">
        <f>'прил. 8'!G1011</f>
        <v>89851.799999999988</v>
      </c>
      <c r="G338" s="62">
        <f>'прил. 8'!H1011</f>
        <v>0</v>
      </c>
      <c r="H338" s="49">
        <f t="shared" si="59"/>
        <v>89851.799999999988</v>
      </c>
      <c r="I338" s="62">
        <f>'прил. 8'!J1011</f>
        <v>0</v>
      </c>
      <c r="J338" s="49">
        <f t="shared" si="53"/>
        <v>89851.799999999988</v>
      </c>
      <c r="K338" s="62">
        <f>'прил. 8'!L1011</f>
        <v>94.9</v>
      </c>
      <c r="L338" s="49">
        <f t="shared" si="51"/>
        <v>89946.699999999983</v>
      </c>
      <c r="M338" s="62">
        <f>'прил. 8'!N1011</f>
        <v>94</v>
      </c>
      <c r="N338" s="49">
        <f t="shared" ref="N338:N401" si="60">L338+M338</f>
        <v>90040.699999999983</v>
      </c>
    </row>
    <row r="339" spans="1:14" x14ac:dyDescent="0.2">
      <c r="A339" s="50" t="str">
        <f ca="1">IF(ISERROR(MATCH(E339,Код_КВР,0)),"",INDIRECT(ADDRESS(MATCH(E339,Код_КВР,0)+1,2,,,"КВР")))</f>
        <v>Субсидии автономным учреждениям</v>
      </c>
      <c r="B339" s="79" t="s">
        <v>250</v>
      </c>
      <c r="C339" s="65" t="s">
        <v>79</v>
      </c>
      <c r="D339" s="46" t="s">
        <v>70</v>
      </c>
      <c r="E339" s="26">
        <v>620</v>
      </c>
      <c r="F339" s="62">
        <f>'прил. 8'!G1012</f>
        <v>13636.9</v>
      </c>
      <c r="G339" s="62">
        <f>'прил. 8'!H1012</f>
        <v>0</v>
      </c>
      <c r="H339" s="49">
        <f t="shared" si="59"/>
        <v>13636.9</v>
      </c>
      <c r="I339" s="62">
        <f>'прил. 8'!J1012</f>
        <v>0</v>
      </c>
      <c r="J339" s="49">
        <f t="shared" si="53"/>
        <v>13636.9</v>
      </c>
      <c r="K339" s="62">
        <f>'прил. 8'!L1012</f>
        <v>12</v>
      </c>
      <c r="L339" s="49">
        <f t="shared" si="51"/>
        <v>13648.9</v>
      </c>
      <c r="M339" s="62">
        <f>'прил. 8'!N1012</f>
        <v>0</v>
      </c>
      <c r="N339" s="49">
        <f t="shared" si="60"/>
        <v>13648.9</v>
      </c>
    </row>
    <row r="340" spans="1:14" ht="49.5" x14ac:dyDescent="0.2">
      <c r="A340" s="50" t="str">
        <f ca="1">IF(ISERROR(MATCH(B340,Код_КЦСР,0)),"",INDIRECT(ADDRESS(MATCH(B340,Код_КЦСР,0)+1,2,,,"КЦСР")))</f>
        <v>Оказание муниципальной услуги в области предоставления обще-развивающих программ и обеспечение деятельности МБУ ДО «ДДиЮ «Дом Знаний»</v>
      </c>
      <c r="B340" s="79" t="s">
        <v>252</v>
      </c>
      <c r="C340" s="65"/>
      <c r="D340" s="46"/>
      <c r="E340" s="26"/>
      <c r="F340" s="62">
        <f t="shared" ref="F340:M343" si="61">F341</f>
        <v>43763.7</v>
      </c>
      <c r="G340" s="62">
        <f t="shared" si="61"/>
        <v>0</v>
      </c>
      <c r="H340" s="49">
        <f t="shared" si="59"/>
        <v>43763.7</v>
      </c>
      <c r="I340" s="62">
        <f t="shared" si="61"/>
        <v>0</v>
      </c>
      <c r="J340" s="49">
        <f t="shared" si="53"/>
        <v>43763.7</v>
      </c>
      <c r="K340" s="62">
        <f t="shared" si="61"/>
        <v>0</v>
      </c>
      <c r="L340" s="49">
        <f t="shared" si="51"/>
        <v>43763.7</v>
      </c>
      <c r="M340" s="62">
        <f t="shared" si="61"/>
        <v>0</v>
      </c>
      <c r="N340" s="49">
        <f t="shared" si="60"/>
        <v>43763.7</v>
      </c>
    </row>
    <row r="341" spans="1:14" x14ac:dyDescent="0.2">
      <c r="A341" s="50" t="str">
        <f ca="1">IF(ISERROR(MATCH(C341,Код_Раздел,0)),"",INDIRECT(ADDRESS(MATCH(C341,Код_Раздел,0)+1,2,,,"Раздел")))</f>
        <v>Образование</v>
      </c>
      <c r="B341" s="79" t="s">
        <v>252</v>
      </c>
      <c r="C341" s="65" t="s">
        <v>60</v>
      </c>
      <c r="D341" s="46"/>
      <c r="E341" s="26"/>
      <c r="F341" s="62">
        <f t="shared" si="61"/>
        <v>43763.7</v>
      </c>
      <c r="G341" s="62">
        <f t="shared" si="61"/>
        <v>0</v>
      </c>
      <c r="H341" s="49">
        <f t="shared" si="59"/>
        <v>43763.7</v>
      </c>
      <c r="I341" s="62">
        <f t="shared" si="61"/>
        <v>0</v>
      </c>
      <c r="J341" s="49">
        <f t="shared" si="53"/>
        <v>43763.7</v>
      </c>
      <c r="K341" s="62">
        <f t="shared" si="61"/>
        <v>0</v>
      </c>
      <c r="L341" s="49">
        <f t="shared" si="51"/>
        <v>43763.7</v>
      </c>
      <c r="M341" s="62">
        <f t="shared" si="61"/>
        <v>0</v>
      </c>
      <c r="N341" s="49">
        <f t="shared" si="60"/>
        <v>43763.7</v>
      </c>
    </row>
    <row r="342" spans="1:14" x14ac:dyDescent="0.2">
      <c r="A342" s="45" t="s">
        <v>465</v>
      </c>
      <c r="B342" s="79" t="s">
        <v>252</v>
      </c>
      <c r="C342" s="65" t="s">
        <v>60</v>
      </c>
      <c r="D342" s="46" t="s">
        <v>72</v>
      </c>
      <c r="E342" s="26"/>
      <c r="F342" s="62">
        <f t="shared" si="61"/>
        <v>43763.7</v>
      </c>
      <c r="G342" s="62">
        <f t="shared" si="61"/>
        <v>0</v>
      </c>
      <c r="H342" s="49">
        <f t="shared" si="59"/>
        <v>43763.7</v>
      </c>
      <c r="I342" s="62">
        <f t="shared" si="61"/>
        <v>0</v>
      </c>
      <c r="J342" s="49">
        <f t="shared" si="53"/>
        <v>43763.7</v>
      </c>
      <c r="K342" s="62">
        <f t="shared" si="61"/>
        <v>0</v>
      </c>
      <c r="L342" s="49">
        <f t="shared" si="51"/>
        <v>43763.7</v>
      </c>
      <c r="M342" s="62">
        <f t="shared" si="61"/>
        <v>0</v>
      </c>
      <c r="N342" s="49">
        <f t="shared" si="60"/>
        <v>43763.7</v>
      </c>
    </row>
    <row r="343" spans="1:14" ht="33" x14ac:dyDescent="0.2">
      <c r="A343" s="50" t="str">
        <f ca="1">IF(ISERROR(MATCH(E343,Код_КВР,0)),"",INDIRECT(ADDRESS(MATCH(E343,Код_КВР,0)+1,2,,,"КВР")))</f>
        <v>Предоставление субсидий бюджетным, автономным учреждениям и иным некоммерческим организациям</v>
      </c>
      <c r="B343" s="79" t="s">
        <v>252</v>
      </c>
      <c r="C343" s="65" t="s">
        <v>60</v>
      </c>
      <c r="D343" s="46" t="s">
        <v>72</v>
      </c>
      <c r="E343" s="26">
        <v>600</v>
      </c>
      <c r="F343" s="62">
        <f t="shared" si="61"/>
        <v>43763.7</v>
      </c>
      <c r="G343" s="62">
        <f t="shared" si="61"/>
        <v>0</v>
      </c>
      <c r="H343" s="49">
        <f t="shared" si="59"/>
        <v>43763.7</v>
      </c>
      <c r="I343" s="62">
        <f t="shared" si="61"/>
        <v>0</v>
      </c>
      <c r="J343" s="49">
        <f t="shared" si="53"/>
        <v>43763.7</v>
      </c>
      <c r="K343" s="62">
        <f t="shared" si="61"/>
        <v>0</v>
      </c>
      <c r="L343" s="49">
        <f t="shared" si="51"/>
        <v>43763.7</v>
      </c>
      <c r="M343" s="62">
        <f t="shared" si="61"/>
        <v>0</v>
      </c>
      <c r="N343" s="49">
        <f t="shared" si="60"/>
        <v>43763.7</v>
      </c>
    </row>
    <row r="344" spans="1:14" x14ac:dyDescent="0.2">
      <c r="A344" s="50" t="str">
        <f ca="1">IF(ISERROR(MATCH(E344,Код_КВР,0)),"",INDIRECT(ADDRESS(MATCH(E344,Код_КВР,0)+1,2,,,"КВР")))</f>
        <v>Субсидии бюджетным учреждениям</v>
      </c>
      <c r="B344" s="79" t="s">
        <v>252</v>
      </c>
      <c r="C344" s="65" t="s">
        <v>60</v>
      </c>
      <c r="D344" s="46" t="s">
        <v>72</v>
      </c>
      <c r="E344" s="26">
        <v>610</v>
      </c>
      <c r="F344" s="62">
        <f>'прил. 8'!G962</f>
        <v>43763.7</v>
      </c>
      <c r="G344" s="62">
        <f>'прил. 8'!H962</f>
        <v>0</v>
      </c>
      <c r="H344" s="49">
        <f t="shared" si="59"/>
        <v>43763.7</v>
      </c>
      <c r="I344" s="62">
        <f>'прил. 8'!J962</f>
        <v>0</v>
      </c>
      <c r="J344" s="49">
        <f t="shared" si="53"/>
        <v>43763.7</v>
      </c>
      <c r="K344" s="62">
        <f>'прил. 8'!L962</f>
        <v>0</v>
      </c>
      <c r="L344" s="49">
        <f t="shared" si="51"/>
        <v>43763.7</v>
      </c>
      <c r="M344" s="62">
        <f>'прил. 8'!N962</f>
        <v>0</v>
      </c>
      <c r="N344" s="49">
        <f t="shared" si="60"/>
        <v>43763.7</v>
      </c>
    </row>
    <row r="345" spans="1:14" ht="49.5" x14ac:dyDescent="0.2">
      <c r="A345" s="50" t="str">
        <f ca="1">IF(ISERROR(MATCH(B345,Код_КЦСР,0)),"",INDIRECT(ADDRESS(MATCH(B345,Код_КЦСР,0)+1,2,,,"КЦСР")))</f>
        <v>Оказание муниципальной услуги в области предоставления предпрофессиональных программ и обеспечение деятельности школ искусств</v>
      </c>
      <c r="B345" s="79" t="s">
        <v>253</v>
      </c>
      <c r="C345" s="65"/>
      <c r="D345" s="46"/>
      <c r="E345" s="26"/>
      <c r="F345" s="62">
        <f t="shared" ref="F345:M348" si="62">F346</f>
        <v>57247.8</v>
      </c>
      <c r="G345" s="62">
        <f t="shared" si="62"/>
        <v>0</v>
      </c>
      <c r="H345" s="49">
        <f t="shared" si="59"/>
        <v>57247.8</v>
      </c>
      <c r="I345" s="62">
        <f t="shared" si="62"/>
        <v>0</v>
      </c>
      <c r="J345" s="49">
        <f t="shared" si="53"/>
        <v>57247.8</v>
      </c>
      <c r="K345" s="62">
        <f t="shared" si="62"/>
        <v>0</v>
      </c>
      <c r="L345" s="49">
        <f t="shared" si="51"/>
        <v>57247.8</v>
      </c>
      <c r="M345" s="62">
        <f t="shared" si="62"/>
        <v>0</v>
      </c>
      <c r="N345" s="49">
        <f t="shared" si="60"/>
        <v>57247.8</v>
      </c>
    </row>
    <row r="346" spans="1:14" x14ac:dyDescent="0.2">
      <c r="A346" s="50" t="str">
        <f ca="1">IF(ISERROR(MATCH(C346,Код_Раздел,0)),"",INDIRECT(ADDRESS(MATCH(C346,Код_Раздел,0)+1,2,,,"Раздел")))</f>
        <v>Образование</v>
      </c>
      <c r="B346" s="79" t="s">
        <v>253</v>
      </c>
      <c r="C346" s="65" t="s">
        <v>60</v>
      </c>
      <c r="D346" s="46"/>
      <c r="E346" s="26"/>
      <c r="F346" s="62">
        <f t="shared" si="62"/>
        <v>57247.8</v>
      </c>
      <c r="G346" s="62">
        <f t="shared" si="62"/>
        <v>0</v>
      </c>
      <c r="H346" s="49">
        <f t="shared" si="59"/>
        <v>57247.8</v>
      </c>
      <c r="I346" s="62">
        <f t="shared" si="62"/>
        <v>0</v>
      </c>
      <c r="J346" s="49">
        <f t="shared" si="53"/>
        <v>57247.8</v>
      </c>
      <c r="K346" s="62">
        <f t="shared" si="62"/>
        <v>0</v>
      </c>
      <c r="L346" s="49">
        <f t="shared" si="51"/>
        <v>57247.8</v>
      </c>
      <c r="M346" s="62">
        <f t="shared" si="62"/>
        <v>0</v>
      </c>
      <c r="N346" s="49">
        <f t="shared" si="60"/>
        <v>57247.8</v>
      </c>
    </row>
    <row r="347" spans="1:14" x14ac:dyDescent="0.2">
      <c r="A347" s="45" t="s">
        <v>465</v>
      </c>
      <c r="B347" s="79" t="s">
        <v>253</v>
      </c>
      <c r="C347" s="65" t="s">
        <v>60</v>
      </c>
      <c r="D347" s="46" t="s">
        <v>72</v>
      </c>
      <c r="E347" s="26"/>
      <c r="F347" s="62">
        <f t="shared" si="62"/>
        <v>57247.8</v>
      </c>
      <c r="G347" s="62">
        <f t="shared" si="62"/>
        <v>0</v>
      </c>
      <c r="H347" s="49">
        <f t="shared" si="59"/>
        <v>57247.8</v>
      </c>
      <c r="I347" s="62">
        <f t="shared" si="62"/>
        <v>0</v>
      </c>
      <c r="J347" s="49">
        <f t="shared" si="53"/>
        <v>57247.8</v>
      </c>
      <c r="K347" s="62">
        <f t="shared" si="62"/>
        <v>0</v>
      </c>
      <c r="L347" s="49">
        <f t="shared" si="51"/>
        <v>57247.8</v>
      </c>
      <c r="M347" s="62">
        <f t="shared" si="62"/>
        <v>0</v>
      </c>
      <c r="N347" s="49">
        <f t="shared" si="60"/>
        <v>57247.8</v>
      </c>
    </row>
    <row r="348" spans="1:14" ht="33" x14ac:dyDescent="0.2">
      <c r="A348" s="50" t="str">
        <f ca="1">IF(ISERROR(MATCH(E348,Код_КВР,0)),"",INDIRECT(ADDRESS(MATCH(E348,Код_КВР,0)+1,2,,,"КВР")))</f>
        <v>Предоставление субсидий бюджетным, автономным учреждениям и иным некоммерческим организациям</v>
      </c>
      <c r="B348" s="79" t="s">
        <v>253</v>
      </c>
      <c r="C348" s="65" t="s">
        <v>60</v>
      </c>
      <c r="D348" s="46" t="s">
        <v>72</v>
      </c>
      <c r="E348" s="26">
        <v>600</v>
      </c>
      <c r="F348" s="62">
        <f t="shared" si="62"/>
        <v>57247.8</v>
      </c>
      <c r="G348" s="62">
        <f t="shared" si="62"/>
        <v>0</v>
      </c>
      <c r="H348" s="49">
        <f t="shared" si="59"/>
        <v>57247.8</v>
      </c>
      <c r="I348" s="62">
        <f t="shared" si="62"/>
        <v>0</v>
      </c>
      <c r="J348" s="49">
        <f t="shared" si="53"/>
        <v>57247.8</v>
      </c>
      <c r="K348" s="62">
        <f t="shared" si="62"/>
        <v>0</v>
      </c>
      <c r="L348" s="49">
        <f t="shared" si="51"/>
        <v>57247.8</v>
      </c>
      <c r="M348" s="62">
        <f t="shared" si="62"/>
        <v>0</v>
      </c>
      <c r="N348" s="49">
        <f t="shared" si="60"/>
        <v>57247.8</v>
      </c>
    </row>
    <row r="349" spans="1:14" x14ac:dyDescent="0.2">
      <c r="A349" s="50" t="str">
        <f ca="1">IF(ISERROR(MATCH(E349,Код_КВР,0)),"",INDIRECT(ADDRESS(MATCH(E349,Код_КВР,0)+1,2,,,"КВР")))</f>
        <v>Субсидии бюджетным учреждениям</v>
      </c>
      <c r="B349" s="79" t="s">
        <v>253</v>
      </c>
      <c r="C349" s="65" t="s">
        <v>60</v>
      </c>
      <c r="D349" s="46" t="s">
        <v>72</v>
      </c>
      <c r="E349" s="26">
        <v>610</v>
      </c>
      <c r="F349" s="62">
        <f>'прил. 8'!G965</f>
        <v>57247.8</v>
      </c>
      <c r="G349" s="62">
        <f>'прил. 8'!H965</f>
        <v>0</v>
      </c>
      <c r="H349" s="49">
        <f t="shared" si="59"/>
        <v>57247.8</v>
      </c>
      <c r="I349" s="62">
        <f>'прил. 8'!J965</f>
        <v>0</v>
      </c>
      <c r="J349" s="49">
        <f t="shared" si="53"/>
        <v>57247.8</v>
      </c>
      <c r="K349" s="62">
        <f>'прил. 8'!L965</f>
        <v>0</v>
      </c>
      <c r="L349" s="49">
        <f t="shared" si="51"/>
        <v>57247.8</v>
      </c>
      <c r="M349" s="62">
        <f>'прил. 8'!N965</f>
        <v>0</v>
      </c>
      <c r="N349" s="49">
        <f t="shared" si="60"/>
        <v>57247.8</v>
      </c>
    </row>
    <row r="350" spans="1:14" ht="33" x14ac:dyDescent="0.2">
      <c r="A350" s="50" t="str">
        <f ca="1">IF(ISERROR(MATCH(B350,Код_КЦСР,0)),"",INDIRECT(ADDRESS(MATCH(B350,Код_КЦСР,0)+1,2,,,"КЦСР")))</f>
        <v xml:space="preserve">Укрепление материально-технической базы учреждений дополнительного образования сферы искусства </v>
      </c>
      <c r="B350" s="79" t="s">
        <v>442</v>
      </c>
      <c r="C350" s="65"/>
      <c r="D350" s="46"/>
      <c r="E350" s="26"/>
      <c r="F350" s="62">
        <f t="shared" ref="F350:M353" si="63">F351</f>
        <v>716.8</v>
      </c>
      <c r="G350" s="62">
        <f t="shared" si="63"/>
        <v>0</v>
      </c>
      <c r="H350" s="49">
        <f t="shared" si="59"/>
        <v>716.8</v>
      </c>
      <c r="I350" s="62">
        <f t="shared" si="63"/>
        <v>0</v>
      </c>
      <c r="J350" s="49">
        <f t="shared" si="53"/>
        <v>716.8</v>
      </c>
      <c r="K350" s="62">
        <f t="shared" si="63"/>
        <v>0</v>
      </c>
      <c r="L350" s="49">
        <f t="shared" si="51"/>
        <v>716.8</v>
      </c>
      <c r="M350" s="62">
        <f t="shared" si="63"/>
        <v>0</v>
      </c>
      <c r="N350" s="49">
        <f t="shared" si="60"/>
        <v>716.8</v>
      </c>
    </row>
    <row r="351" spans="1:14" x14ac:dyDescent="0.2">
      <c r="A351" s="50" t="str">
        <f ca="1">IF(ISERROR(MATCH(C351,Код_Раздел,0)),"",INDIRECT(ADDRESS(MATCH(C351,Код_Раздел,0)+1,2,,,"Раздел")))</f>
        <v>Образование</v>
      </c>
      <c r="B351" s="79" t="s">
        <v>442</v>
      </c>
      <c r="C351" s="65" t="s">
        <v>60</v>
      </c>
      <c r="D351" s="46"/>
      <c r="E351" s="26"/>
      <c r="F351" s="62">
        <f t="shared" si="63"/>
        <v>716.8</v>
      </c>
      <c r="G351" s="62">
        <f t="shared" si="63"/>
        <v>0</v>
      </c>
      <c r="H351" s="49">
        <f t="shared" si="59"/>
        <v>716.8</v>
      </c>
      <c r="I351" s="62">
        <f t="shared" si="63"/>
        <v>0</v>
      </c>
      <c r="J351" s="49">
        <f t="shared" si="53"/>
        <v>716.8</v>
      </c>
      <c r="K351" s="62">
        <f t="shared" si="63"/>
        <v>0</v>
      </c>
      <c r="L351" s="49">
        <f t="shared" si="51"/>
        <v>716.8</v>
      </c>
      <c r="M351" s="62">
        <f t="shared" si="63"/>
        <v>0</v>
      </c>
      <c r="N351" s="49">
        <f t="shared" si="60"/>
        <v>716.8</v>
      </c>
    </row>
    <row r="352" spans="1:14" x14ac:dyDescent="0.2">
      <c r="A352" s="45" t="s">
        <v>465</v>
      </c>
      <c r="B352" s="79" t="s">
        <v>442</v>
      </c>
      <c r="C352" s="65" t="s">
        <v>60</v>
      </c>
      <c r="D352" s="46" t="s">
        <v>72</v>
      </c>
      <c r="E352" s="26"/>
      <c r="F352" s="62">
        <f t="shared" si="63"/>
        <v>716.8</v>
      </c>
      <c r="G352" s="62">
        <f t="shared" si="63"/>
        <v>0</v>
      </c>
      <c r="H352" s="49">
        <f t="shared" si="59"/>
        <v>716.8</v>
      </c>
      <c r="I352" s="62">
        <f t="shared" si="63"/>
        <v>0</v>
      </c>
      <c r="J352" s="49">
        <f t="shared" si="53"/>
        <v>716.8</v>
      </c>
      <c r="K352" s="62">
        <f t="shared" si="63"/>
        <v>0</v>
      </c>
      <c r="L352" s="49">
        <f t="shared" si="51"/>
        <v>716.8</v>
      </c>
      <c r="M352" s="62">
        <f t="shared" si="63"/>
        <v>0</v>
      </c>
      <c r="N352" s="49">
        <f t="shared" si="60"/>
        <v>716.8</v>
      </c>
    </row>
    <row r="353" spans="1:14" ht="33" x14ac:dyDescent="0.2">
      <c r="A353" s="50" t="str">
        <f ca="1">IF(ISERROR(MATCH(E353,Код_КВР,0)),"",INDIRECT(ADDRESS(MATCH(E353,Код_КВР,0)+1,2,,,"КВР")))</f>
        <v>Предоставление субсидий бюджетным, автономным учреждениям и иным некоммерческим организациям</v>
      </c>
      <c r="B353" s="79" t="s">
        <v>442</v>
      </c>
      <c r="C353" s="65" t="s">
        <v>60</v>
      </c>
      <c r="D353" s="46" t="s">
        <v>72</v>
      </c>
      <c r="E353" s="26">
        <v>600</v>
      </c>
      <c r="F353" s="62">
        <f t="shared" si="63"/>
        <v>716.8</v>
      </c>
      <c r="G353" s="62">
        <f t="shared" si="63"/>
        <v>0</v>
      </c>
      <c r="H353" s="49">
        <f t="shared" si="59"/>
        <v>716.8</v>
      </c>
      <c r="I353" s="62">
        <f t="shared" si="63"/>
        <v>0</v>
      </c>
      <c r="J353" s="49">
        <f t="shared" si="53"/>
        <v>716.8</v>
      </c>
      <c r="K353" s="62">
        <f t="shared" si="63"/>
        <v>0</v>
      </c>
      <c r="L353" s="49">
        <f t="shared" si="51"/>
        <v>716.8</v>
      </c>
      <c r="M353" s="62">
        <f t="shared" si="63"/>
        <v>0</v>
      </c>
      <c r="N353" s="49">
        <f t="shared" si="60"/>
        <v>716.8</v>
      </c>
    </row>
    <row r="354" spans="1:14" x14ac:dyDescent="0.2">
      <c r="A354" s="50" t="str">
        <f ca="1">IF(ISERROR(MATCH(E354,Код_КВР,0)),"",INDIRECT(ADDRESS(MATCH(E354,Код_КВР,0)+1,2,,,"КВР")))</f>
        <v>Субсидии бюджетным учреждениям</v>
      </c>
      <c r="B354" s="79" t="s">
        <v>442</v>
      </c>
      <c r="C354" s="65" t="s">
        <v>60</v>
      </c>
      <c r="D354" s="46" t="s">
        <v>72</v>
      </c>
      <c r="E354" s="26">
        <v>610</v>
      </c>
      <c r="F354" s="62">
        <f>'прил. 8'!G968</f>
        <v>716.8</v>
      </c>
      <c r="G354" s="62">
        <f>'прил. 8'!H968</f>
        <v>0</v>
      </c>
      <c r="H354" s="49">
        <f t="shared" si="59"/>
        <v>716.8</v>
      </c>
      <c r="I354" s="62">
        <f>'прил. 8'!J968</f>
        <v>0</v>
      </c>
      <c r="J354" s="49">
        <f t="shared" si="53"/>
        <v>716.8</v>
      </c>
      <c r="K354" s="62">
        <f>'прил. 8'!L968</f>
        <v>0</v>
      </c>
      <c r="L354" s="49">
        <f t="shared" si="51"/>
        <v>716.8</v>
      </c>
      <c r="M354" s="62">
        <f>'прил. 8'!N968</f>
        <v>0</v>
      </c>
      <c r="N354" s="49">
        <f t="shared" si="60"/>
        <v>716.8</v>
      </c>
    </row>
    <row r="355" spans="1:14" x14ac:dyDescent="0.2">
      <c r="A355" s="50" t="str">
        <f ca="1">IF(ISERROR(MATCH(B355,Код_КЦСР,0)),"",INDIRECT(ADDRESS(MATCH(B355,Код_КЦСР,0)+1,2,,,"КЦСР")))</f>
        <v>Досуг</v>
      </c>
      <c r="B355" s="79" t="s">
        <v>255</v>
      </c>
      <c r="C355" s="65"/>
      <c r="D355" s="46"/>
      <c r="E355" s="26"/>
      <c r="F355" s="62">
        <f>F356+F361+F370</f>
        <v>56237.5</v>
      </c>
      <c r="G355" s="62">
        <f>G356+G361+G370</f>
        <v>0</v>
      </c>
      <c r="H355" s="49">
        <f t="shared" si="59"/>
        <v>56237.5</v>
      </c>
      <c r="I355" s="62">
        <f>I356+I361+I370</f>
        <v>0</v>
      </c>
      <c r="J355" s="49">
        <f t="shared" si="53"/>
        <v>56237.5</v>
      </c>
      <c r="K355" s="62">
        <f>K356+K361+K370</f>
        <v>256.10000000000002</v>
      </c>
      <c r="L355" s="49">
        <f t="shared" si="51"/>
        <v>56493.599999999999</v>
      </c>
      <c r="M355" s="62">
        <f>M356+M361+M370</f>
        <v>94</v>
      </c>
      <c r="N355" s="49">
        <f t="shared" si="60"/>
        <v>56587.6</v>
      </c>
    </row>
    <row r="356" spans="1:14" ht="33" x14ac:dyDescent="0.2">
      <c r="A356" s="50" t="str">
        <f ca="1">IF(ISERROR(MATCH(B356,Код_КЦСР,0)),"",INDIRECT(ADDRESS(MATCH(B356,Код_КЦСР,0)+1,2,,,"КЦСР")))</f>
        <v>Организация деятельности клубных формирований и формирований самодеятельного народного творчества</v>
      </c>
      <c r="B356" s="79" t="s">
        <v>257</v>
      </c>
      <c r="C356" s="65"/>
      <c r="D356" s="46"/>
      <c r="E356" s="26"/>
      <c r="F356" s="62">
        <f t="shared" ref="F356:M359" si="64">F357</f>
        <v>44103.5</v>
      </c>
      <c r="G356" s="62">
        <f t="shared" si="64"/>
        <v>0</v>
      </c>
      <c r="H356" s="49">
        <f t="shared" si="59"/>
        <v>44103.5</v>
      </c>
      <c r="I356" s="62">
        <f t="shared" si="64"/>
        <v>0</v>
      </c>
      <c r="J356" s="49">
        <f t="shared" si="53"/>
        <v>44103.5</v>
      </c>
      <c r="K356" s="62">
        <f t="shared" si="64"/>
        <v>256.10000000000002</v>
      </c>
      <c r="L356" s="49">
        <f t="shared" si="51"/>
        <v>44359.6</v>
      </c>
      <c r="M356" s="62">
        <f t="shared" si="64"/>
        <v>5403.2</v>
      </c>
      <c r="N356" s="49">
        <f t="shared" si="60"/>
        <v>49762.799999999996</v>
      </c>
    </row>
    <row r="357" spans="1:14" x14ac:dyDescent="0.2">
      <c r="A357" s="50" t="str">
        <f ca="1">IF(ISERROR(MATCH(C357,Код_Раздел,0)),"",INDIRECT(ADDRESS(MATCH(C357,Код_Раздел,0)+1,2,,,"Раздел")))</f>
        <v>Культура, кинематография</v>
      </c>
      <c r="B357" s="79" t="s">
        <v>257</v>
      </c>
      <c r="C357" s="65" t="s">
        <v>79</v>
      </c>
      <c r="D357" s="46"/>
      <c r="E357" s="26"/>
      <c r="F357" s="62">
        <f t="shared" si="64"/>
        <v>44103.5</v>
      </c>
      <c r="G357" s="62">
        <f t="shared" si="64"/>
        <v>0</v>
      </c>
      <c r="H357" s="49">
        <f t="shared" si="59"/>
        <v>44103.5</v>
      </c>
      <c r="I357" s="62">
        <f t="shared" si="64"/>
        <v>0</v>
      </c>
      <c r="J357" s="49">
        <f t="shared" si="53"/>
        <v>44103.5</v>
      </c>
      <c r="K357" s="62">
        <f t="shared" si="64"/>
        <v>256.10000000000002</v>
      </c>
      <c r="L357" s="49">
        <f t="shared" si="51"/>
        <v>44359.6</v>
      </c>
      <c r="M357" s="62">
        <f t="shared" si="64"/>
        <v>5403.2</v>
      </c>
      <c r="N357" s="49">
        <f t="shared" si="60"/>
        <v>49762.799999999996</v>
      </c>
    </row>
    <row r="358" spans="1:14" x14ac:dyDescent="0.2">
      <c r="A358" s="45" t="s">
        <v>49</v>
      </c>
      <c r="B358" s="79" t="s">
        <v>257</v>
      </c>
      <c r="C358" s="65" t="s">
        <v>79</v>
      </c>
      <c r="D358" s="46" t="s">
        <v>70</v>
      </c>
      <c r="E358" s="26"/>
      <c r="F358" s="62">
        <f t="shared" si="64"/>
        <v>44103.5</v>
      </c>
      <c r="G358" s="62">
        <f t="shared" si="64"/>
        <v>0</v>
      </c>
      <c r="H358" s="49">
        <f t="shared" si="59"/>
        <v>44103.5</v>
      </c>
      <c r="I358" s="62">
        <f t="shared" si="64"/>
        <v>0</v>
      </c>
      <c r="J358" s="49">
        <f t="shared" si="53"/>
        <v>44103.5</v>
      </c>
      <c r="K358" s="62">
        <f t="shared" si="64"/>
        <v>256.10000000000002</v>
      </c>
      <c r="L358" s="49">
        <f t="shared" si="51"/>
        <v>44359.6</v>
      </c>
      <c r="M358" s="62">
        <f t="shared" si="64"/>
        <v>5403.2</v>
      </c>
      <c r="N358" s="49">
        <f t="shared" si="60"/>
        <v>49762.799999999996</v>
      </c>
    </row>
    <row r="359" spans="1:14" ht="33" x14ac:dyDescent="0.2">
      <c r="A359" s="50" t="str">
        <f ca="1">IF(ISERROR(MATCH(E359,Код_КВР,0)),"",INDIRECT(ADDRESS(MATCH(E359,Код_КВР,0)+1,2,,,"КВР")))</f>
        <v>Предоставление субсидий бюджетным, автономным учреждениям и иным некоммерческим организациям</v>
      </c>
      <c r="B359" s="79" t="s">
        <v>257</v>
      </c>
      <c r="C359" s="65" t="s">
        <v>79</v>
      </c>
      <c r="D359" s="46" t="s">
        <v>70</v>
      </c>
      <c r="E359" s="26">
        <v>600</v>
      </c>
      <c r="F359" s="62">
        <f t="shared" si="64"/>
        <v>44103.5</v>
      </c>
      <c r="G359" s="62">
        <f t="shared" si="64"/>
        <v>0</v>
      </c>
      <c r="H359" s="49">
        <f t="shared" si="59"/>
        <v>44103.5</v>
      </c>
      <c r="I359" s="62">
        <f t="shared" si="64"/>
        <v>0</v>
      </c>
      <c r="J359" s="49">
        <f t="shared" si="53"/>
        <v>44103.5</v>
      </c>
      <c r="K359" s="62">
        <f t="shared" si="64"/>
        <v>256.10000000000002</v>
      </c>
      <c r="L359" s="49">
        <f t="shared" si="51"/>
        <v>44359.6</v>
      </c>
      <c r="M359" s="62">
        <f t="shared" si="64"/>
        <v>5403.2</v>
      </c>
      <c r="N359" s="49">
        <f t="shared" si="60"/>
        <v>49762.799999999996</v>
      </c>
    </row>
    <row r="360" spans="1:14" x14ac:dyDescent="0.2">
      <c r="A360" s="50" t="str">
        <f ca="1">IF(ISERROR(MATCH(E360,Код_КВР,0)),"",INDIRECT(ADDRESS(MATCH(E360,Код_КВР,0)+1,2,,,"КВР")))</f>
        <v>Субсидии бюджетным учреждениям</v>
      </c>
      <c r="B360" s="79" t="s">
        <v>257</v>
      </c>
      <c r="C360" s="65" t="s">
        <v>79</v>
      </c>
      <c r="D360" s="46" t="s">
        <v>70</v>
      </c>
      <c r="E360" s="26">
        <v>610</v>
      </c>
      <c r="F360" s="62">
        <f>'прил. 8'!G1016</f>
        <v>44103.5</v>
      </c>
      <c r="G360" s="62">
        <f>'прил. 8'!H1016</f>
        <v>0</v>
      </c>
      <c r="H360" s="49">
        <f t="shared" si="59"/>
        <v>44103.5</v>
      </c>
      <c r="I360" s="62">
        <f>'прил. 8'!J1016</f>
        <v>0</v>
      </c>
      <c r="J360" s="49">
        <f t="shared" si="53"/>
        <v>44103.5</v>
      </c>
      <c r="K360" s="62">
        <f>'прил. 8'!L1016</f>
        <v>256.10000000000002</v>
      </c>
      <c r="L360" s="49">
        <f t="shared" si="51"/>
        <v>44359.6</v>
      </c>
      <c r="M360" s="62">
        <f>'прил. 8'!N1016</f>
        <v>5403.2</v>
      </c>
      <c r="N360" s="49">
        <f t="shared" si="60"/>
        <v>49762.799999999996</v>
      </c>
    </row>
    <row r="361" spans="1:14" ht="21.75" customHeight="1" x14ac:dyDescent="0.2">
      <c r="A361" s="50" t="str">
        <f ca="1">IF(ISERROR(MATCH(B361,Код_КЦСР,0)),"",INDIRECT(ADDRESS(MATCH(B361,Код_КЦСР,0)+1,2,,,"КЦСР")))</f>
        <v>Организация и проведение городских культурно-массовых мероприятий</v>
      </c>
      <c r="B361" s="79" t="s">
        <v>259</v>
      </c>
      <c r="C361" s="65"/>
      <c r="D361" s="46"/>
      <c r="E361" s="26"/>
      <c r="F361" s="62">
        <f>F362+F366</f>
        <v>6824.8</v>
      </c>
      <c r="G361" s="62">
        <f>G362+G366</f>
        <v>0</v>
      </c>
      <c r="H361" s="49">
        <f t="shared" si="59"/>
        <v>6824.8</v>
      </c>
      <c r="I361" s="62">
        <f>I362+I366</f>
        <v>0</v>
      </c>
      <c r="J361" s="49">
        <f t="shared" si="53"/>
        <v>6824.8</v>
      </c>
      <c r="K361" s="62">
        <f>K362+K366</f>
        <v>0</v>
      </c>
      <c r="L361" s="49">
        <f t="shared" si="51"/>
        <v>6824.8</v>
      </c>
      <c r="M361" s="62">
        <f>M362+M366</f>
        <v>0</v>
      </c>
      <c r="N361" s="49">
        <f t="shared" si="60"/>
        <v>6824.8</v>
      </c>
    </row>
    <row r="362" spans="1:14" x14ac:dyDescent="0.2">
      <c r="A362" s="50" t="str">
        <f ca="1">IF(ISERROR(MATCH(C362,Код_Раздел,0)),"",INDIRECT(ADDRESS(MATCH(C362,Код_Раздел,0)+1,2,,,"Раздел")))</f>
        <v>Жилищно-коммунальное хозяйство</v>
      </c>
      <c r="B362" s="79" t="s">
        <v>259</v>
      </c>
      <c r="C362" s="65" t="s">
        <v>78</v>
      </c>
      <c r="D362" s="46"/>
      <c r="E362" s="26"/>
      <c r="F362" s="62">
        <f t="shared" ref="F362:M364" si="65">F363</f>
        <v>84.2</v>
      </c>
      <c r="G362" s="62">
        <f t="shared" si="65"/>
        <v>0</v>
      </c>
      <c r="H362" s="49">
        <f t="shared" si="59"/>
        <v>84.2</v>
      </c>
      <c r="I362" s="62">
        <f t="shared" si="65"/>
        <v>0</v>
      </c>
      <c r="J362" s="49">
        <f t="shared" si="53"/>
        <v>84.2</v>
      </c>
      <c r="K362" s="62">
        <f t="shared" si="65"/>
        <v>0</v>
      </c>
      <c r="L362" s="49">
        <f t="shared" si="51"/>
        <v>84.2</v>
      </c>
      <c r="M362" s="62">
        <f t="shared" si="65"/>
        <v>0</v>
      </c>
      <c r="N362" s="49">
        <f t="shared" si="60"/>
        <v>84.2</v>
      </c>
    </row>
    <row r="363" spans="1:14" x14ac:dyDescent="0.2">
      <c r="A363" s="45" t="s">
        <v>104</v>
      </c>
      <c r="B363" s="79" t="s">
        <v>259</v>
      </c>
      <c r="C363" s="65" t="s">
        <v>78</v>
      </c>
      <c r="D363" s="46" t="s">
        <v>72</v>
      </c>
      <c r="E363" s="26"/>
      <c r="F363" s="62">
        <f t="shared" si="65"/>
        <v>84.2</v>
      </c>
      <c r="G363" s="62">
        <f t="shared" si="65"/>
        <v>0</v>
      </c>
      <c r="H363" s="49">
        <f t="shared" si="59"/>
        <v>84.2</v>
      </c>
      <c r="I363" s="62">
        <f t="shared" si="65"/>
        <v>0</v>
      </c>
      <c r="J363" s="49">
        <f t="shared" si="53"/>
        <v>84.2</v>
      </c>
      <c r="K363" s="62">
        <f t="shared" si="65"/>
        <v>0</v>
      </c>
      <c r="L363" s="49">
        <f t="shared" si="51"/>
        <v>84.2</v>
      </c>
      <c r="M363" s="62">
        <f t="shared" si="65"/>
        <v>0</v>
      </c>
      <c r="N363" s="49">
        <f t="shared" si="60"/>
        <v>84.2</v>
      </c>
    </row>
    <row r="364" spans="1:14" ht="33" x14ac:dyDescent="0.2">
      <c r="A364" s="50" t="str">
        <f ca="1">IF(ISERROR(MATCH(E364,Код_КВР,0)),"",INDIRECT(ADDRESS(MATCH(E364,Код_КВР,0)+1,2,,,"КВР")))</f>
        <v>Закупка товаров, работ и услуг для обеспечения государственных (муниципальных) нужд</v>
      </c>
      <c r="B364" s="79" t="s">
        <v>259</v>
      </c>
      <c r="C364" s="65" t="s">
        <v>78</v>
      </c>
      <c r="D364" s="46" t="s">
        <v>72</v>
      </c>
      <c r="E364" s="26">
        <v>200</v>
      </c>
      <c r="F364" s="62">
        <f t="shared" si="65"/>
        <v>84.2</v>
      </c>
      <c r="G364" s="62">
        <f t="shared" si="65"/>
        <v>0</v>
      </c>
      <c r="H364" s="49">
        <f t="shared" si="59"/>
        <v>84.2</v>
      </c>
      <c r="I364" s="62">
        <f t="shared" si="65"/>
        <v>0</v>
      </c>
      <c r="J364" s="49">
        <f t="shared" si="53"/>
        <v>84.2</v>
      </c>
      <c r="K364" s="62">
        <f t="shared" si="65"/>
        <v>0</v>
      </c>
      <c r="L364" s="49">
        <f t="shared" si="51"/>
        <v>84.2</v>
      </c>
      <c r="M364" s="62">
        <f t="shared" si="65"/>
        <v>0</v>
      </c>
      <c r="N364" s="49">
        <f t="shared" si="60"/>
        <v>84.2</v>
      </c>
    </row>
    <row r="365" spans="1:14" ht="33" x14ac:dyDescent="0.2">
      <c r="A365" s="50" t="str">
        <f ca="1">IF(ISERROR(MATCH(E365,Код_КВР,0)),"",INDIRECT(ADDRESS(MATCH(E365,Код_КВР,0)+1,2,,,"КВР")))</f>
        <v>Иные закупки товаров, работ и услуг для обеспечения государственных (муниципальных) нужд</v>
      </c>
      <c r="B365" s="79" t="s">
        <v>259</v>
      </c>
      <c r="C365" s="65" t="s">
        <v>78</v>
      </c>
      <c r="D365" s="46" t="s">
        <v>72</v>
      </c>
      <c r="E365" s="26">
        <v>240</v>
      </c>
      <c r="F365" s="62">
        <f>'прил. 8'!G575</f>
        <v>84.2</v>
      </c>
      <c r="G365" s="62">
        <f>'прил. 8'!H575</f>
        <v>0</v>
      </c>
      <c r="H365" s="49">
        <f t="shared" si="59"/>
        <v>84.2</v>
      </c>
      <c r="I365" s="62">
        <f>'прил. 8'!J575</f>
        <v>0</v>
      </c>
      <c r="J365" s="49">
        <f t="shared" si="53"/>
        <v>84.2</v>
      </c>
      <c r="K365" s="62">
        <f>'прил. 8'!L575</f>
        <v>0</v>
      </c>
      <c r="L365" s="49">
        <f t="shared" si="51"/>
        <v>84.2</v>
      </c>
      <c r="M365" s="62">
        <f>'прил. 8'!N575</f>
        <v>0</v>
      </c>
      <c r="N365" s="49">
        <f t="shared" si="60"/>
        <v>84.2</v>
      </c>
    </row>
    <row r="366" spans="1:14" x14ac:dyDescent="0.2">
      <c r="A366" s="50" t="str">
        <f ca="1">IF(ISERROR(MATCH(C366,Код_Раздел,0)),"",INDIRECT(ADDRESS(MATCH(C366,Код_Раздел,0)+1,2,,,"Раздел")))</f>
        <v>Культура, кинематография</v>
      </c>
      <c r="B366" s="79" t="s">
        <v>259</v>
      </c>
      <c r="C366" s="65" t="s">
        <v>79</v>
      </c>
      <c r="D366" s="46"/>
      <c r="E366" s="26"/>
      <c r="F366" s="62">
        <f t="shared" ref="F366:M368" si="66">F367</f>
        <v>6740.6</v>
      </c>
      <c r="G366" s="62">
        <f t="shared" si="66"/>
        <v>0</v>
      </c>
      <c r="H366" s="49">
        <f t="shared" si="59"/>
        <v>6740.6</v>
      </c>
      <c r="I366" s="62">
        <f t="shared" si="66"/>
        <v>0</v>
      </c>
      <c r="J366" s="49">
        <f t="shared" si="53"/>
        <v>6740.6</v>
      </c>
      <c r="K366" s="62">
        <f t="shared" si="66"/>
        <v>0</v>
      </c>
      <c r="L366" s="49">
        <f t="shared" si="51"/>
        <v>6740.6</v>
      </c>
      <c r="M366" s="62">
        <f t="shared" si="66"/>
        <v>0</v>
      </c>
      <c r="N366" s="49">
        <f t="shared" si="60"/>
        <v>6740.6</v>
      </c>
    </row>
    <row r="367" spans="1:14" x14ac:dyDescent="0.2">
      <c r="A367" s="45" t="s">
        <v>49</v>
      </c>
      <c r="B367" s="79" t="s">
        <v>259</v>
      </c>
      <c r="C367" s="65" t="s">
        <v>79</v>
      </c>
      <c r="D367" s="46" t="s">
        <v>70</v>
      </c>
      <c r="E367" s="26"/>
      <c r="F367" s="62">
        <f t="shared" si="66"/>
        <v>6740.6</v>
      </c>
      <c r="G367" s="62">
        <f t="shared" si="66"/>
        <v>0</v>
      </c>
      <c r="H367" s="49">
        <f t="shared" si="59"/>
        <v>6740.6</v>
      </c>
      <c r="I367" s="62">
        <f t="shared" si="66"/>
        <v>0</v>
      </c>
      <c r="J367" s="49">
        <f t="shared" si="53"/>
        <v>6740.6</v>
      </c>
      <c r="K367" s="62">
        <f t="shared" si="66"/>
        <v>0</v>
      </c>
      <c r="L367" s="49">
        <f t="shared" si="51"/>
        <v>6740.6</v>
      </c>
      <c r="M367" s="62">
        <f t="shared" si="66"/>
        <v>0</v>
      </c>
      <c r="N367" s="49">
        <f t="shared" si="60"/>
        <v>6740.6</v>
      </c>
    </row>
    <row r="368" spans="1:14" ht="33" x14ac:dyDescent="0.2">
      <c r="A368" s="50" t="str">
        <f ca="1">IF(ISERROR(MATCH(E368,Код_КВР,0)),"",INDIRECT(ADDRESS(MATCH(E368,Код_КВР,0)+1,2,,,"КВР")))</f>
        <v>Предоставление субсидий бюджетным, автономным учреждениям и иным некоммерческим организациям</v>
      </c>
      <c r="B368" s="79" t="s">
        <v>259</v>
      </c>
      <c r="C368" s="65" t="s">
        <v>79</v>
      </c>
      <c r="D368" s="46" t="s">
        <v>70</v>
      </c>
      <c r="E368" s="26">
        <v>600</v>
      </c>
      <c r="F368" s="62">
        <f t="shared" si="66"/>
        <v>6740.6</v>
      </c>
      <c r="G368" s="62">
        <f t="shared" si="66"/>
        <v>0</v>
      </c>
      <c r="H368" s="49">
        <f t="shared" si="59"/>
        <v>6740.6</v>
      </c>
      <c r="I368" s="62">
        <f t="shared" si="66"/>
        <v>0</v>
      </c>
      <c r="J368" s="49">
        <f t="shared" si="53"/>
        <v>6740.6</v>
      </c>
      <c r="K368" s="62">
        <f t="shared" si="66"/>
        <v>0</v>
      </c>
      <c r="L368" s="49">
        <f t="shared" si="51"/>
        <v>6740.6</v>
      </c>
      <c r="M368" s="62">
        <f t="shared" si="66"/>
        <v>0</v>
      </c>
      <c r="N368" s="49">
        <f t="shared" si="60"/>
        <v>6740.6</v>
      </c>
    </row>
    <row r="369" spans="1:14" x14ac:dyDescent="0.2">
      <c r="A369" s="50" t="str">
        <f ca="1">IF(ISERROR(MATCH(E369,Код_КВР,0)),"",INDIRECT(ADDRESS(MATCH(E369,Код_КВР,0)+1,2,,,"КВР")))</f>
        <v>Субсидии бюджетным учреждениям</v>
      </c>
      <c r="B369" s="79" t="s">
        <v>259</v>
      </c>
      <c r="C369" s="65" t="s">
        <v>79</v>
      </c>
      <c r="D369" s="46" t="s">
        <v>70</v>
      </c>
      <c r="E369" s="26">
        <v>610</v>
      </c>
      <c r="F369" s="62">
        <f>'прил. 8'!G1019</f>
        <v>6740.6</v>
      </c>
      <c r="G369" s="62">
        <f>'прил. 8'!H1019</f>
        <v>0</v>
      </c>
      <c r="H369" s="49">
        <f t="shared" si="59"/>
        <v>6740.6</v>
      </c>
      <c r="I369" s="62">
        <f>'прил. 8'!J1019</f>
        <v>0</v>
      </c>
      <c r="J369" s="49">
        <f t="shared" si="53"/>
        <v>6740.6</v>
      </c>
      <c r="K369" s="62">
        <f>'прил. 8'!L1019</f>
        <v>0</v>
      </c>
      <c r="L369" s="49">
        <f t="shared" si="51"/>
        <v>6740.6</v>
      </c>
      <c r="M369" s="62">
        <f>'прил. 8'!N1019</f>
        <v>0</v>
      </c>
      <c r="N369" s="49">
        <f t="shared" si="60"/>
        <v>6740.6</v>
      </c>
    </row>
    <row r="370" spans="1:14" ht="33" x14ac:dyDescent="0.2">
      <c r="A370" s="50" t="str">
        <f ca="1">IF(ISERROR(MATCH(B370,Код_КЦСР,0)),"",INDIRECT(ADDRESS(MATCH(B370,Код_КЦСР,0)+1,2,,,"КЦСР")))</f>
        <v xml:space="preserve">Обеспечение сохранности и целостности историко-архитектурного комплекса, исторической среды и ландшафтов </v>
      </c>
      <c r="B370" s="79" t="s">
        <v>443</v>
      </c>
      <c r="C370" s="65"/>
      <c r="D370" s="46"/>
      <c r="E370" s="26"/>
      <c r="F370" s="62">
        <f t="shared" ref="F370:M373" si="67">F371</f>
        <v>5309.2</v>
      </c>
      <c r="G370" s="62">
        <f t="shared" si="67"/>
        <v>0</v>
      </c>
      <c r="H370" s="49">
        <f t="shared" si="59"/>
        <v>5309.2</v>
      </c>
      <c r="I370" s="62">
        <f t="shared" si="67"/>
        <v>0</v>
      </c>
      <c r="J370" s="49">
        <f t="shared" si="53"/>
        <v>5309.2</v>
      </c>
      <c r="K370" s="62">
        <f t="shared" si="67"/>
        <v>0</v>
      </c>
      <c r="L370" s="49">
        <f t="shared" si="51"/>
        <v>5309.2</v>
      </c>
      <c r="M370" s="62">
        <f t="shared" si="67"/>
        <v>-5309.2</v>
      </c>
      <c r="N370" s="49">
        <f t="shared" si="60"/>
        <v>0</v>
      </c>
    </row>
    <row r="371" spans="1:14" x14ac:dyDescent="0.2">
      <c r="A371" s="50" t="str">
        <f ca="1">IF(ISERROR(MATCH(C371,Код_Раздел,0)),"",INDIRECT(ADDRESS(MATCH(C371,Код_Раздел,0)+1,2,,,"Раздел")))</f>
        <v>Культура, кинематография</v>
      </c>
      <c r="B371" s="79" t="s">
        <v>443</v>
      </c>
      <c r="C371" s="65" t="s">
        <v>79</v>
      </c>
      <c r="D371" s="46"/>
      <c r="E371" s="26"/>
      <c r="F371" s="62">
        <f t="shared" si="67"/>
        <v>5309.2</v>
      </c>
      <c r="G371" s="62">
        <f t="shared" si="67"/>
        <v>0</v>
      </c>
      <c r="H371" s="49">
        <f t="shared" si="59"/>
        <v>5309.2</v>
      </c>
      <c r="I371" s="62">
        <f t="shared" si="67"/>
        <v>0</v>
      </c>
      <c r="J371" s="49">
        <f t="shared" si="53"/>
        <v>5309.2</v>
      </c>
      <c r="K371" s="62">
        <f t="shared" si="67"/>
        <v>0</v>
      </c>
      <c r="L371" s="49">
        <f t="shared" ref="L371:L434" si="68">J371+K371</f>
        <v>5309.2</v>
      </c>
      <c r="M371" s="62">
        <f t="shared" si="67"/>
        <v>-5309.2</v>
      </c>
      <c r="N371" s="49">
        <f t="shared" si="60"/>
        <v>0</v>
      </c>
    </row>
    <row r="372" spans="1:14" x14ac:dyDescent="0.2">
      <c r="A372" s="45" t="s">
        <v>49</v>
      </c>
      <c r="B372" s="79" t="s">
        <v>443</v>
      </c>
      <c r="C372" s="65" t="s">
        <v>79</v>
      </c>
      <c r="D372" s="46" t="s">
        <v>70</v>
      </c>
      <c r="E372" s="26"/>
      <c r="F372" s="62">
        <f t="shared" si="67"/>
        <v>5309.2</v>
      </c>
      <c r="G372" s="62">
        <f t="shared" si="67"/>
        <v>0</v>
      </c>
      <c r="H372" s="49">
        <f t="shared" si="59"/>
        <v>5309.2</v>
      </c>
      <c r="I372" s="62">
        <f t="shared" si="67"/>
        <v>0</v>
      </c>
      <c r="J372" s="49">
        <f t="shared" si="53"/>
        <v>5309.2</v>
      </c>
      <c r="K372" s="62">
        <f t="shared" si="67"/>
        <v>0</v>
      </c>
      <c r="L372" s="49">
        <f t="shared" si="68"/>
        <v>5309.2</v>
      </c>
      <c r="M372" s="62">
        <f t="shared" si="67"/>
        <v>-5309.2</v>
      </c>
      <c r="N372" s="49">
        <f t="shared" si="60"/>
        <v>0</v>
      </c>
    </row>
    <row r="373" spans="1:14" ht="33" x14ac:dyDescent="0.2">
      <c r="A373" s="50" t="str">
        <f ca="1">IF(ISERROR(MATCH(E373,Код_КВР,0)),"",INDIRECT(ADDRESS(MATCH(E373,Код_КВР,0)+1,2,,,"КВР")))</f>
        <v>Предоставление субсидий бюджетным, автономным учреждениям и иным некоммерческим организациям</v>
      </c>
      <c r="B373" s="79" t="s">
        <v>443</v>
      </c>
      <c r="C373" s="65" t="s">
        <v>79</v>
      </c>
      <c r="D373" s="46" t="s">
        <v>70</v>
      </c>
      <c r="E373" s="26">
        <v>600</v>
      </c>
      <c r="F373" s="62">
        <f t="shared" si="67"/>
        <v>5309.2</v>
      </c>
      <c r="G373" s="62">
        <f t="shared" si="67"/>
        <v>0</v>
      </c>
      <c r="H373" s="49">
        <f t="shared" si="59"/>
        <v>5309.2</v>
      </c>
      <c r="I373" s="62">
        <f t="shared" si="67"/>
        <v>0</v>
      </c>
      <c r="J373" s="49">
        <f t="shared" si="53"/>
        <v>5309.2</v>
      </c>
      <c r="K373" s="62">
        <f t="shared" si="67"/>
        <v>0</v>
      </c>
      <c r="L373" s="49">
        <f t="shared" si="68"/>
        <v>5309.2</v>
      </c>
      <c r="M373" s="62">
        <f t="shared" si="67"/>
        <v>-5309.2</v>
      </c>
      <c r="N373" s="49">
        <f t="shared" si="60"/>
        <v>0</v>
      </c>
    </row>
    <row r="374" spans="1:14" x14ac:dyDescent="0.2">
      <c r="A374" s="50" t="str">
        <f ca="1">IF(ISERROR(MATCH(E374,Код_КВР,0)),"",INDIRECT(ADDRESS(MATCH(E374,Код_КВР,0)+1,2,,,"КВР")))</f>
        <v>Субсидии бюджетным учреждениям</v>
      </c>
      <c r="B374" s="79" t="s">
        <v>443</v>
      </c>
      <c r="C374" s="65" t="s">
        <v>79</v>
      </c>
      <c r="D374" s="46" t="s">
        <v>70</v>
      </c>
      <c r="E374" s="26">
        <v>610</v>
      </c>
      <c r="F374" s="62">
        <f>'прил. 8'!G1022</f>
        <v>5309.2</v>
      </c>
      <c r="G374" s="62">
        <f>'прил. 8'!H1022</f>
        <v>0</v>
      </c>
      <c r="H374" s="49">
        <f t="shared" si="59"/>
        <v>5309.2</v>
      </c>
      <c r="I374" s="62">
        <f>'прил. 8'!J1022</f>
        <v>0</v>
      </c>
      <c r="J374" s="49">
        <f t="shared" si="53"/>
        <v>5309.2</v>
      </c>
      <c r="K374" s="62">
        <f>'прил. 8'!L1022</f>
        <v>0</v>
      </c>
      <c r="L374" s="49">
        <f t="shared" si="68"/>
        <v>5309.2</v>
      </c>
      <c r="M374" s="62">
        <f>'прил. 8'!N1022</f>
        <v>-5309.2</v>
      </c>
      <c r="N374" s="49">
        <f t="shared" si="60"/>
        <v>0</v>
      </c>
    </row>
    <row r="375" spans="1:14" x14ac:dyDescent="0.2">
      <c r="A375" s="50" t="str">
        <f ca="1">IF(ISERROR(MATCH(B375,Код_КЦСР,0)),"",INDIRECT(ADDRESS(MATCH(B375,Код_КЦСР,0)+1,2,,,"КЦСР")))</f>
        <v>Туризм</v>
      </c>
      <c r="B375" s="79" t="s">
        <v>261</v>
      </c>
      <c r="C375" s="65"/>
      <c r="D375" s="46"/>
      <c r="E375" s="26"/>
      <c r="F375" s="62">
        <f>F381+F376</f>
        <v>150.20000000000002</v>
      </c>
      <c r="G375" s="62">
        <f>G381+G376</f>
        <v>0</v>
      </c>
      <c r="H375" s="49">
        <f t="shared" si="59"/>
        <v>150.20000000000002</v>
      </c>
      <c r="I375" s="62">
        <f>I381+I376</f>
        <v>0</v>
      </c>
      <c r="J375" s="49">
        <f t="shared" si="53"/>
        <v>150.20000000000002</v>
      </c>
      <c r="K375" s="62">
        <f>K381+K376</f>
        <v>0</v>
      </c>
      <c r="L375" s="49">
        <f t="shared" si="68"/>
        <v>150.20000000000002</v>
      </c>
      <c r="M375" s="62">
        <f>M381+M376</f>
        <v>0</v>
      </c>
      <c r="N375" s="49">
        <f t="shared" si="60"/>
        <v>150.20000000000002</v>
      </c>
    </row>
    <row r="376" spans="1:14" x14ac:dyDescent="0.2">
      <c r="A376" s="50" t="str">
        <f ca="1">IF(ISERROR(MATCH(B376,Код_КЦСР,0)),"",INDIRECT(ADDRESS(MATCH(B376,Код_КЦСР,0)+1,2,,,"КЦСР")))</f>
        <v xml:space="preserve">Продвижение городского туристического продукта на российском рынке </v>
      </c>
      <c r="B376" s="79" t="s">
        <v>263</v>
      </c>
      <c r="C376" s="65"/>
      <c r="D376" s="46"/>
      <c r="E376" s="26"/>
      <c r="F376" s="62">
        <f t="shared" ref="F376:M379" si="69">F377</f>
        <v>123.4</v>
      </c>
      <c r="G376" s="62">
        <f t="shared" si="69"/>
        <v>0</v>
      </c>
      <c r="H376" s="49">
        <f t="shared" si="59"/>
        <v>123.4</v>
      </c>
      <c r="I376" s="62">
        <f t="shared" si="69"/>
        <v>0</v>
      </c>
      <c r="J376" s="49">
        <f t="shared" si="53"/>
        <v>123.4</v>
      </c>
      <c r="K376" s="62">
        <f t="shared" si="69"/>
        <v>0</v>
      </c>
      <c r="L376" s="49">
        <f t="shared" si="68"/>
        <v>123.4</v>
      </c>
      <c r="M376" s="62">
        <f t="shared" si="69"/>
        <v>0</v>
      </c>
      <c r="N376" s="49">
        <f t="shared" si="60"/>
        <v>123.4</v>
      </c>
    </row>
    <row r="377" spans="1:14" x14ac:dyDescent="0.2">
      <c r="A377" s="50" t="str">
        <f ca="1">IF(ISERROR(MATCH(C377,Код_Раздел,0)),"",INDIRECT(ADDRESS(MATCH(C377,Код_Раздел,0)+1,2,,,"Раздел")))</f>
        <v>Национальная экономика</v>
      </c>
      <c r="B377" s="79" t="s">
        <v>263</v>
      </c>
      <c r="C377" s="65" t="s">
        <v>73</v>
      </c>
      <c r="D377" s="46"/>
      <c r="E377" s="26"/>
      <c r="F377" s="62">
        <f t="shared" si="69"/>
        <v>123.4</v>
      </c>
      <c r="G377" s="62">
        <f t="shared" si="69"/>
        <v>0</v>
      </c>
      <c r="H377" s="49">
        <f t="shared" si="59"/>
        <v>123.4</v>
      </c>
      <c r="I377" s="62">
        <f t="shared" si="69"/>
        <v>0</v>
      </c>
      <c r="J377" s="49">
        <f t="shared" ref="J377:J440" si="70">H377+I377</f>
        <v>123.4</v>
      </c>
      <c r="K377" s="62">
        <f t="shared" si="69"/>
        <v>0</v>
      </c>
      <c r="L377" s="49">
        <f t="shared" si="68"/>
        <v>123.4</v>
      </c>
      <c r="M377" s="62">
        <f t="shared" si="69"/>
        <v>0</v>
      </c>
      <c r="N377" s="49">
        <f t="shared" si="60"/>
        <v>123.4</v>
      </c>
    </row>
    <row r="378" spans="1:14" x14ac:dyDescent="0.2">
      <c r="A378" s="45" t="s">
        <v>80</v>
      </c>
      <c r="B378" s="79" t="s">
        <v>263</v>
      </c>
      <c r="C378" s="65" t="s">
        <v>73</v>
      </c>
      <c r="D378" s="46" t="s">
        <v>61</v>
      </c>
      <c r="E378" s="26"/>
      <c r="F378" s="62">
        <f t="shared" si="69"/>
        <v>123.4</v>
      </c>
      <c r="G378" s="62">
        <f t="shared" si="69"/>
        <v>0</v>
      </c>
      <c r="H378" s="49">
        <f t="shared" si="59"/>
        <v>123.4</v>
      </c>
      <c r="I378" s="62">
        <f t="shared" si="69"/>
        <v>0</v>
      </c>
      <c r="J378" s="49">
        <f t="shared" si="70"/>
        <v>123.4</v>
      </c>
      <c r="K378" s="62">
        <f t="shared" si="69"/>
        <v>0</v>
      </c>
      <c r="L378" s="49">
        <f t="shared" si="68"/>
        <v>123.4</v>
      </c>
      <c r="M378" s="62">
        <f t="shared" si="69"/>
        <v>0</v>
      </c>
      <c r="N378" s="49">
        <f t="shared" si="60"/>
        <v>123.4</v>
      </c>
    </row>
    <row r="379" spans="1:14" ht="33" x14ac:dyDescent="0.2">
      <c r="A379" s="50" t="str">
        <f ca="1">IF(ISERROR(MATCH(E379,Код_КВР,0)),"",INDIRECT(ADDRESS(MATCH(E379,Код_КВР,0)+1,2,,,"КВР")))</f>
        <v>Предоставление субсидий бюджетным, автономным учреждениям и иным некоммерческим организациям</v>
      </c>
      <c r="B379" s="79" t="s">
        <v>263</v>
      </c>
      <c r="C379" s="65" t="s">
        <v>73</v>
      </c>
      <c r="D379" s="46" t="s">
        <v>61</v>
      </c>
      <c r="E379" s="26">
        <v>600</v>
      </c>
      <c r="F379" s="62">
        <f t="shared" si="69"/>
        <v>123.4</v>
      </c>
      <c r="G379" s="62">
        <f t="shared" si="69"/>
        <v>0</v>
      </c>
      <c r="H379" s="49">
        <f t="shared" si="59"/>
        <v>123.4</v>
      </c>
      <c r="I379" s="62">
        <f t="shared" si="69"/>
        <v>0</v>
      </c>
      <c r="J379" s="49">
        <f t="shared" si="70"/>
        <v>123.4</v>
      </c>
      <c r="K379" s="62">
        <f t="shared" si="69"/>
        <v>0</v>
      </c>
      <c r="L379" s="49">
        <f t="shared" si="68"/>
        <v>123.4</v>
      </c>
      <c r="M379" s="62">
        <f t="shared" si="69"/>
        <v>0</v>
      </c>
      <c r="N379" s="49">
        <f t="shared" si="60"/>
        <v>123.4</v>
      </c>
    </row>
    <row r="380" spans="1:14" x14ac:dyDescent="0.2">
      <c r="A380" s="50" t="str">
        <f ca="1">IF(ISERROR(MATCH(E380,Код_КВР,0)),"",INDIRECT(ADDRESS(MATCH(E380,Код_КВР,0)+1,2,,,"КВР")))</f>
        <v>Субсидии бюджетным учреждениям</v>
      </c>
      <c r="B380" s="79" t="s">
        <v>263</v>
      </c>
      <c r="C380" s="65" t="s">
        <v>73</v>
      </c>
      <c r="D380" s="46" t="s">
        <v>61</v>
      </c>
      <c r="E380" s="26">
        <v>610</v>
      </c>
      <c r="F380" s="62">
        <f>'прил. 8'!G952</f>
        <v>123.4</v>
      </c>
      <c r="G380" s="62">
        <f>'прил. 8'!H952</f>
        <v>0</v>
      </c>
      <c r="H380" s="49">
        <f t="shared" si="59"/>
        <v>123.4</v>
      </c>
      <c r="I380" s="62">
        <f>'прил. 8'!J952</f>
        <v>0</v>
      </c>
      <c r="J380" s="49">
        <f t="shared" si="70"/>
        <v>123.4</v>
      </c>
      <c r="K380" s="62">
        <f>'прил. 8'!L952</f>
        <v>0</v>
      </c>
      <c r="L380" s="49">
        <f t="shared" si="68"/>
        <v>123.4</v>
      </c>
      <c r="M380" s="62">
        <f>'прил. 8'!N952</f>
        <v>0</v>
      </c>
      <c r="N380" s="49">
        <f t="shared" si="60"/>
        <v>123.4</v>
      </c>
    </row>
    <row r="381" spans="1:14" x14ac:dyDescent="0.2">
      <c r="A381" s="50" t="str">
        <f ca="1">IF(ISERROR(MATCH(B381,Код_КЦСР,0)),"",INDIRECT(ADDRESS(MATCH(B381,Код_КЦСР,0)+1,2,,,"КЦСР")))</f>
        <v>Развитие туристской, инженерной и транспортной инфраструктур</v>
      </c>
      <c r="B381" s="79" t="s">
        <v>264</v>
      </c>
      <c r="C381" s="65"/>
      <c r="D381" s="46"/>
      <c r="E381" s="26"/>
      <c r="F381" s="62">
        <f t="shared" ref="F381:M384" si="71">F382</f>
        <v>26.8</v>
      </c>
      <c r="G381" s="62">
        <f t="shared" si="71"/>
        <v>0</v>
      </c>
      <c r="H381" s="49">
        <f t="shared" si="59"/>
        <v>26.8</v>
      </c>
      <c r="I381" s="62">
        <f t="shared" si="71"/>
        <v>0</v>
      </c>
      <c r="J381" s="49">
        <f t="shared" si="70"/>
        <v>26.8</v>
      </c>
      <c r="K381" s="62">
        <f t="shared" si="71"/>
        <v>0</v>
      </c>
      <c r="L381" s="49">
        <f t="shared" si="68"/>
        <v>26.8</v>
      </c>
      <c r="M381" s="62">
        <f t="shared" si="71"/>
        <v>0</v>
      </c>
      <c r="N381" s="49">
        <f t="shared" si="60"/>
        <v>26.8</v>
      </c>
    </row>
    <row r="382" spans="1:14" x14ac:dyDescent="0.2">
      <c r="A382" s="50" t="str">
        <f ca="1">IF(ISERROR(MATCH(C382,Код_Раздел,0)),"",INDIRECT(ADDRESS(MATCH(C382,Код_Раздел,0)+1,2,,,"Раздел")))</f>
        <v>Национальная экономика</v>
      </c>
      <c r="B382" s="79" t="s">
        <v>264</v>
      </c>
      <c r="C382" s="65" t="s">
        <v>73</v>
      </c>
      <c r="D382" s="46"/>
      <c r="E382" s="26"/>
      <c r="F382" s="62">
        <f t="shared" si="71"/>
        <v>26.8</v>
      </c>
      <c r="G382" s="62">
        <f t="shared" si="71"/>
        <v>0</v>
      </c>
      <c r="H382" s="49">
        <f t="shared" si="59"/>
        <v>26.8</v>
      </c>
      <c r="I382" s="62">
        <f t="shared" si="71"/>
        <v>0</v>
      </c>
      <c r="J382" s="49">
        <f t="shared" si="70"/>
        <v>26.8</v>
      </c>
      <c r="K382" s="62">
        <f t="shared" si="71"/>
        <v>0</v>
      </c>
      <c r="L382" s="49">
        <f t="shared" si="68"/>
        <v>26.8</v>
      </c>
      <c r="M382" s="62">
        <f t="shared" si="71"/>
        <v>0</v>
      </c>
      <c r="N382" s="49">
        <f t="shared" si="60"/>
        <v>26.8</v>
      </c>
    </row>
    <row r="383" spans="1:14" x14ac:dyDescent="0.2">
      <c r="A383" s="45" t="s">
        <v>80</v>
      </c>
      <c r="B383" s="79" t="s">
        <v>264</v>
      </c>
      <c r="C383" s="65" t="s">
        <v>73</v>
      </c>
      <c r="D383" s="46" t="s">
        <v>61</v>
      </c>
      <c r="E383" s="26"/>
      <c r="F383" s="62">
        <f t="shared" si="71"/>
        <v>26.8</v>
      </c>
      <c r="G383" s="62">
        <f t="shared" si="71"/>
        <v>0</v>
      </c>
      <c r="H383" s="49">
        <f t="shared" si="59"/>
        <v>26.8</v>
      </c>
      <c r="I383" s="62">
        <f t="shared" si="71"/>
        <v>0</v>
      </c>
      <c r="J383" s="49">
        <f t="shared" si="70"/>
        <v>26.8</v>
      </c>
      <c r="K383" s="62">
        <f t="shared" si="71"/>
        <v>0</v>
      </c>
      <c r="L383" s="49">
        <f t="shared" si="68"/>
        <v>26.8</v>
      </c>
      <c r="M383" s="62">
        <f t="shared" si="71"/>
        <v>0</v>
      </c>
      <c r="N383" s="49">
        <f t="shared" si="60"/>
        <v>26.8</v>
      </c>
    </row>
    <row r="384" spans="1:14" ht="33" x14ac:dyDescent="0.2">
      <c r="A384" s="50" t="str">
        <f ca="1">IF(ISERROR(MATCH(E384,Код_КВР,0)),"",INDIRECT(ADDRESS(MATCH(E384,Код_КВР,0)+1,2,,,"КВР")))</f>
        <v>Предоставление субсидий бюджетным, автономным учреждениям и иным некоммерческим организациям</v>
      </c>
      <c r="B384" s="79" t="s">
        <v>264</v>
      </c>
      <c r="C384" s="65" t="s">
        <v>73</v>
      </c>
      <c r="D384" s="46" t="s">
        <v>61</v>
      </c>
      <c r="E384" s="26">
        <v>600</v>
      </c>
      <c r="F384" s="62">
        <f t="shared" si="71"/>
        <v>26.8</v>
      </c>
      <c r="G384" s="62">
        <f t="shared" si="71"/>
        <v>0</v>
      </c>
      <c r="H384" s="49">
        <f t="shared" si="59"/>
        <v>26.8</v>
      </c>
      <c r="I384" s="62">
        <f t="shared" si="71"/>
        <v>0</v>
      </c>
      <c r="J384" s="49">
        <f t="shared" si="70"/>
        <v>26.8</v>
      </c>
      <c r="K384" s="62">
        <f t="shared" si="71"/>
        <v>0</v>
      </c>
      <c r="L384" s="49">
        <f t="shared" si="68"/>
        <v>26.8</v>
      </c>
      <c r="M384" s="62">
        <f t="shared" si="71"/>
        <v>0</v>
      </c>
      <c r="N384" s="49">
        <f t="shared" si="60"/>
        <v>26.8</v>
      </c>
    </row>
    <row r="385" spans="1:14" x14ac:dyDescent="0.2">
      <c r="A385" s="50" t="str">
        <f ca="1">IF(ISERROR(MATCH(E385,Код_КВР,0)),"",INDIRECT(ADDRESS(MATCH(E385,Код_КВР,0)+1,2,,,"КВР")))</f>
        <v>Субсидии бюджетным учреждениям</v>
      </c>
      <c r="B385" s="79" t="s">
        <v>264</v>
      </c>
      <c r="C385" s="65" t="s">
        <v>73</v>
      </c>
      <c r="D385" s="46" t="s">
        <v>61</v>
      </c>
      <c r="E385" s="26">
        <v>610</v>
      </c>
      <c r="F385" s="62">
        <f>'прил. 8'!G955</f>
        <v>26.8</v>
      </c>
      <c r="G385" s="62">
        <f>'прил. 8'!H955</f>
        <v>0</v>
      </c>
      <c r="H385" s="49">
        <f t="shared" si="59"/>
        <v>26.8</v>
      </c>
      <c r="I385" s="62">
        <f>'прил. 8'!J955</f>
        <v>0</v>
      </c>
      <c r="J385" s="49">
        <f t="shared" si="70"/>
        <v>26.8</v>
      </c>
      <c r="K385" s="62">
        <f>'прил. 8'!L955</f>
        <v>0</v>
      </c>
      <c r="L385" s="49">
        <f t="shared" si="68"/>
        <v>26.8</v>
      </c>
      <c r="M385" s="62">
        <f>'прил. 8'!N955</f>
        <v>0</v>
      </c>
      <c r="N385" s="49">
        <f t="shared" si="60"/>
        <v>26.8</v>
      </c>
    </row>
    <row r="386" spans="1:14" ht="33" x14ac:dyDescent="0.2">
      <c r="A386" s="50" t="str">
        <f ca="1">IF(ISERROR(MATCH(B386,Код_КЦСР,0)),"",INDIRECT(ADDRESS(MATCH(B386,Код_КЦСР,0)+1,2,,,"КЦСР")))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386" s="79" t="s">
        <v>269</v>
      </c>
      <c r="C386" s="65"/>
      <c r="D386" s="46"/>
      <c r="E386" s="26"/>
      <c r="F386" s="62">
        <f>F387+F392+F401+F411+F418+F424+F432</f>
        <v>332855.79999999993</v>
      </c>
      <c r="G386" s="62">
        <f>G387+G392+G401+G411+G418+G424+G432</f>
        <v>0</v>
      </c>
      <c r="H386" s="49">
        <f t="shared" si="59"/>
        <v>332855.79999999993</v>
      </c>
      <c r="I386" s="62">
        <f>I387+I392+I401+I411+I418+I424+I432</f>
        <v>0</v>
      </c>
      <c r="J386" s="49">
        <f t="shared" si="70"/>
        <v>332855.79999999993</v>
      </c>
      <c r="K386" s="62">
        <f>K387+K392+K401+K411+K418+K424+K432</f>
        <v>4367.2</v>
      </c>
      <c r="L386" s="49">
        <f t="shared" si="68"/>
        <v>337222.99999999994</v>
      </c>
      <c r="M386" s="62">
        <f>M387+M392+M401+M411+M418+M424+M432</f>
        <v>0</v>
      </c>
      <c r="N386" s="49">
        <f t="shared" si="60"/>
        <v>337222.99999999994</v>
      </c>
    </row>
    <row r="387" spans="1:14" ht="19.5" customHeight="1" x14ac:dyDescent="0.2">
      <c r="A387" s="50" t="str">
        <f ca="1">IF(ISERROR(MATCH(B387,Код_КЦСР,0)),"",INDIRECT(ADDRESS(MATCH(B387,Код_КЦСР,0)+1,2,,,"КЦСР")))</f>
        <v>Обеспечение доступа к спортивным объектам</v>
      </c>
      <c r="B387" s="79" t="s">
        <v>271</v>
      </c>
      <c r="C387" s="65"/>
      <c r="D387" s="46"/>
      <c r="E387" s="26"/>
      <c r="F387" s="62">
        <f t="shared" ref="F387:M390" si="72">F388</f>
        <v>126567.3</v>
      </c>
      <c r="G387" s="62">
        <f t="shared" si="72"/>
        <v>0</v>
      </c>
      <c r="H387" s="49">
        <f t="shared" si="59"/>
        <v>126567.3</v>
      </c>
      <c r="I387" s="62">
        <f t="shared" si="72"/>
        <v>0</v>
      </c>
      <c r="J387" s="49">
        <f t="shared" si="70"/>
        <v>126567.3</v>
      </c>
      <c r="K387" s="62">
        <f t="shared" si="72"/>
        <v>0</v>
      </c>
      <c r="L387" s="49">
        <f t="shared" si="68"/>
        <v>126567.3</v>
      </c>
      <c r="M387" s="62">
        <f t="shared" si="72"/>
        <v>0</v>
      </c>
      <c r="N387" s="49">
        <f t="shared" si="60"/>
        <v>126567.3</v>
      </c>
    </row>
    <row r="388" spans="1:14" ht="19.5" customHeight="1" x14ac:dyDescent="0.2">
      <c r="A388" s="50" t="str">
        <f ca="1">IF(ISERROR(MATCH(C388,Код_Раздел,0)),"",INDIRECT(ADDRESS(MATCH(C388,Код_Раздел,0)+1,2,,,"Раздел")))</f>
        <v>Физическая культура и спорт</v>
      </c>
      <c r="B388" s="79" t="s">
        <v>271</v>
      </c>
      <c r="C388" s="65" t="s">
        <v>81</v>
      </c>
      <c r="D388" s="46"/>
      <c r="E388" s="26"/>
      <c r="F388" s="62">
        <f t="shared" si="72"/>
        <v>126567.3</v>
      </c>
      <c r="G388" s="62">
        <f t="shared" si="72"/>
        <v>0</v>
      </c>
      <c r="H388" s="49">
        <f t="shared" si="59"/>
        <v>126567.3</v>
      </c>
      <c r="I388" s="62">
        <f t="shared" si="72"/>
        <v>0</v>
      </c>
      <c r="J388" s="49">
        <f t="shared" si="70"/>
        <v>126567.3</v>
      </c>
      <c r="K388" s="62">
        <f t="shared" si="72"/>
        <v>0</v>
      </c>
      <c r="L388" s="49">
        <f t="shared" si="68"/>
        <v>126567.3</v>
      </c>
      <c r="M388" s="62">
        <f t="shared" si="72"/>
        <v>0</v>
      </c>
      <c r="N388" s="49">
        <f t="shared" si="60"/>
        <v>126567.3</v>
      </c>
    </row>
    <row r="389" spans="1:14" x14ac:dyDescent="0.2">
      <c r="A389" s="74" t="s">
        <v>57</v>
      </c>
      <c r="B389" s="79" t="s">
        <v>271</v>
      </c>
      <c r="C389" s="65" t="s">
        <v>81</v>
      </c>
      <c r="D389" s="46" t="s">
        <v>78</v>
      </c>
      <c r="E389" s="26"/>
      <c r="F389" s="62">
        <f t="shared" si="72"/>
        <v>126567.3</v>
      </c>
      <c r="G389" s="62">
        <f t="shared" si="72"/>
        <v>0</v>
      </c>
      <c r="H389" s="49">
        <f t="shared" si="59"/>
        <v>126567.3</v>
      </c>
      <c r="I389" s="62">
        <f t="shared" si="72"/>
        <v>0</v>
      </c>
      <c r="J389" s="49">
        <f t="shared" si="70"/>
        <v>126567.3</v>
      </c>
      <c r="K389" s="62">
        <f t="shared" si="72"/>
        <v>0</v>
      </c>
      <c r="L389" s="49">
        <f t="shared" si="68"/>
        <v>126567.3</v>
      </c>
      <c r="M389" s="62">
        <f t="shared" si="72"/>
        <v>0</v>
      </c>
      <c r="N389" s="49">
        <f t="shared" si="60"/>
        <v>126567.3</v>
      </c>
    </row>
    <row r="390" spans="1:14" ht="33" x14ac:dyDescent="0.2">
      <c r="A390" s="50" t="str">
        <f ca="1">IF(ISERROR(MATCH(E390,Код_КВР,0)),"",INDIRECT(ADDRESS(MATCH(E390,Код_КВР,0)+1,2,,,"КВР")))</f>
        <v>Предоставление субсидий бюджетным, автономным учреждениям и иным некоммерческим организациям</v>
      </c>
      <c r="B390" s="79" t="s">
        <v>271</v>
      </c>
      <c r="C390" s="65" t="s">
        <v>81</v>
      </c>
      <c r="D390" s="46" t="s">
        <v>78</v>
      </c>
      <c r="E390" s="26">
        <v>600</v>
      </c>
      <c r="F390" s="62">
        <f t="shared" si="72"/>
        <v>126567.3</v>
      </c>
      <c r="G390" s="62">
        <f t="shared" si="72"/>
        <v>0</v>
      </c>
      <c r="H390" s="49">
        <f t="shared" si="59"/>
        <v>126567.3</v>
      </c>
      <c r="I390" s="62">
        <f t="shared" si="72"/>
        <v>0</v>
      </c>
      <c r="J390" s="49">
        <f t="shared" si="70"/>
        <v>126567.3</v>
      </c>
      <c r="K390" s="62">
        <f t="shared" si="72"/>
        <v>0</v>
      </c>
      <c r="L390" s="49">
        <f t="shared" si="68"/>
        <v>126567.3</v>
      </c>
      <c r="M390" s="62">
        <f t="shared" si="72"/>
        <v>0</v>
      </c>
      <c r="N390" s="49">
        <f t="shared" si="60"/>
        <v>126567.3</v>
      </c>
    </row>
    <row r="391" spans="1:14" x14ac:dyDescent="0.2">
      <c r="A391" s="50" t="str">
        <f ca="1">IF(ISERROR(MATCH(E391,Код_КВР,0)),"",INDIRECT(ADDRESS(MATCH(E391,Код_КВР,0)+1,2,,,"КВР")))</f>
        <v>Субсидии автономным учреждениям</v>
      </c>
      <c r="B391" s="79" t="s">
        <v>271</v>
      </c>
      <c r="C391" s="65" t="s">
        <v>81</v>
      </c>
      <c r="D391" s="46" t="s">
        <v>78</v>
      </c>
      <c r="E391" s="26">
        <v>620</v>
      </c>
      <c r="F391" s="62">
        <f>'прил. 8'!G1088</f>
        <v>126567.3</v>
      </c>
      <c r="G391" s="62">
        <f>'прил. 8'!H1088</f>
        <v>0</v>
      </c>
      <c r="H391" s="49">
        <f t="shared" si="59"/>
        <v>126567.3</v>
      </c>
      <c r="I391" s="62">
        <f>'прил. 8'!J1088</f>
        <v>0</v>
      </c>
      <c r="J391" s="49">
        <f t="shared" si="70"/>
        <v>126567.3</v>
      </c>
      <c r="K391" s="62">
        <f>'прил. 8'!L1088</f>
        <v>0</v>
      </c>
      <c r="L391" s="49">
        <f t="shared" si="68"/>
        <v>126567.3</v>
      </c>
      <c r="M391" s="62">
        <f>'прил. 8'!N1088</f>
        <v>0</v>
      </c>
      <c r="N391" s="49">
        <f t="shared" si="60"/>
        <v>126567.3</v>
      </c>
    </row>
    <row r="392" spans="1:14" ht="66" x14ac:dyDescent="0.2">
      <c r="A392" s="50" t="str">
        <f ca="1">IF(ISERROR(MATCH(B392,Код_КЦСР,0)),"",INDIRECT(ADDRESS(MATCH(B392,Код_КЦСР,0)+1,2,,,"КЦСР")))</f>
        <v>Организация и обеспечение подготовки спортивного резерва, в том числе: обеспечение участия спортивных сборных команд в спортивных соревнованиях, спортивная подготовка по олимпийским видам спорта (пулевая стрельба)</v>
      </c>
      <c r="B392" s="79" t="s">
        <v>272</v>
      </c>
      <c r="C392" s="65"/>
      <c r="D392" s="46"/>
      <c r="E392" s="26"/>
      <c r="F392" s="62">
        <f>F393</f>
        <v>22257.5</v>
      </c>
      <c r="G392" s="62">
        <f>G393</f>
        <v>0</v>
      </c>
      <c r="H392" s="49">
        <f t="shared" si="59"/>
        <v>22257.5</v>
      </c>
      <c r="I392" s="62">
        <f>I393</f>
        <v>0</v>
      </c>
      <c r="J392" s="49">
        <f t="shared" si="70"/>
        <v>22257.5</v>
      </c>
      <c r="K392" s="62">
        <f>K393</f>
        <v>0</v>
      </c>
      <c r="L392" s="49">
        <f t="shared" si="68"/>
        <v>22257.5</v>
      </c>
      <c r="M392" s="62">
        <f>M393</f>
        <v>0</v>
      </c>
      <c r="N392" s="49">
        <f t="shared" si="60"/>
        <v>22257.5</v>
      </c>
    </row>
    <row r="393" spans="1:14" x14ac:dyDescent="0.2">
      <c r="A393" s="50" t="str">
        <f ca="1">IF(ISERROR(MATCH(C393,Код_Раздел,0)),"",INDIRECT(ADDRESS(MATCH(C393,Код_Раздел,0)+1,2,,,"Раздел")))</f>
        <v>Физическая культура и спорт</v>
      </c>
      <c r="B393" s="79" t="s">
        <v>272</v>
      </c>
      <c r="C393" s="65" t="s">
        <v>81</v>
      </c>
      <c r="D393" s="46"/>
      <c r="E393" s="26"/>
      <c r="F393" s="62">
        <f>F394+F398</f>
        <v>22257.5</v>
      </c>
      <c r="G393" s="62">
        <f>G394+G398</f>
        <v>0</v>
      </c>
      <c r="H393" s="49">
        <f t="shared" si="59"/>
        <v>22257.5</v>
      </c>
      <c r="I393" s="62">
        <f>I394+I398</f>
        <v>0</v>
      </c>
      <c r="J393" s="49">
        <f t="shared" si="70"/>
        <v>22257.5</v>
      </c>
      <c r="K393" s="62">
        <f>K394+K398</f>
        <v>0</v>
      </c>
      <c r="L393" s="49">
        <f t="shared" si="68"/>
        <v>22257.5</v>
      </c>
      <c r="M393" s="62">
        <f>M394+M398</f>
        <v>0</v>
      </c>
      <c r="N393" s="49">
        <f t="shared" si="60"/>
        <v>22257.5</v>
      </c>
    </row>
    <row r="394" spans="1:14" x14ac:dyDescent="0.2">
      <c r="A394" s="45" t="s">
        <v>51</v>
      </c>
      <c r="B394" s="79" t="s">
        <v>272</v>
      </c>
      <c r="C394" s="65" t="s">
        <v>81</v>
      </c>
      <c r="D394" s="46" t="s">
        <v>70</v>
      </c>
      <c r="E394" s="26"/>
      <c r="F394" s="62">
        <f>F395</f>
        <v>20271.099999999999</v>
      </c>
      <c r="G394" s="62">
        <f>G395</f>
        <v>0</v>
      </c>
      <c r="H394" s="49">
        <f t="shared" si="59"/>
        <v>20271.099999999999</v>
      </c>
      <c r="I394" s="62">
        <f>I395</f>
        <v>0</v>
      </c>
      <c r="J394" s="49">
        <f t="shared" si="70"/>
        <v>20271.099999999999</v>
      </c>
      <c r="K394" s="62">
        <f>K395</f>
        <v>0</v>
      </c>
      <c r="L394" s="49">
        <f t="shared" si="68"/>
        <v>20271.099999999999</v>
      </c>
      <c r="M394" s="62">
        <f>M395</f>
        <v>0</v>
      </c>
      <c r="N394" s="49">
        <f t="shared" si="60"/>
        <v>20271.099999999999</v>
      </c>
    </row>
    <row r="395" spans="1:14" ht="33" x14ac:dyDescent="0.2">
      <c r="A395" s="50" t="str">
        <f ca="1">IF(ISERROR(MATCH(E395,Код_КВР,0)),"",INDIRECT(ADDRESS(MATCH(E395,Код_КВР,0)+1,2,,,"КВР")))</f>
        <v>Предоставление субсидий бюджетным, автономным учреждениям и иным некоммерческим организациям</v>
      </c>
      <c r="B395" s="79" t="s">
        <v>272</v>
      </c>
      <c r="C395" s="65" t="s">
        <v>81</v>
      </c>
      <c r="D395" s="46" t="s">
        <v>70</v>
      </c>
      <c r="E395" s="26">
        <v>600</v>
      </c>
      <c r="F395" s="62">
        <f>F396+F397</f>
        <v>20271.099999999999</v>
      </c>
      <c r="G395" s="62">
        <f>G396+G397</f>
        <v>0</v>
      </c>
      <c r="H395" s="49">
        <f t="shared" si="59"/>
        <v>20271.099999999999</v>
      </c>
      <c r="I395" s="62">
        <f>I396+I397</f>
        <v>0</v>
      </c>
      <c r="J395" s="49">
        <f t="shared" si="70"/>
        <v>20271.099999999999</v>
      </c>
      <c r="K395" s="62">
        <f>K396+K397</f>
        <v>0</v>
      </c>
      <c r="L395" s="49">
        <f t="shared" si="68"/>
        <v>20271.099999999999</v>
      </c>
      <c r="M395" s="62">
        <f>M396+M397</f>
        <v>0</v>
      </c>
      <c r="N395" s="49">
        <f t="shared" si="60"/>
        <v>20271.099999999999</v>
      </c>
    </row>
    <row r="396" spans="1:14" x14ac:dyDescent="0.2">
      <c r="A396" s="50" t="str">
        <f ca="1">IF(ISERROR(MATCH(E396,Код_КВР,0)),"",INDIRECT(ADDRESS(MATCH(E396,Код_КВР,0)+1,2,,,"КВР")))</f>
        <v>Субсидии бюджетным учреждениям</v>
      </c>
      <c r="B396" s="79" t="s">
        <v>272</v>
      </c>
      <c r="C396" s="65" t="s">
        <v>81</v>
      </c>
      <c r="D396" s="46" t="s">
        <v>70</v>
      </c>
      <c r="E396" s="26">
        <v>610</v>
      </c>
      <c r="F396" s="62">
        <f>'прил. 8'!G1070</f>
        <v>12937.3</v>
      </c>
      <c r="G396" s="62">
        <f>'прил. 8'!H1070</f>
        <v>0</v>
      </c>
      <c r="H396" s="49">
        <f t="shared" si="59"/>
        <v>12937.3</v>
      </c>
      <c r="I396" s="62">
        <f>'прил. 8'!J1070</f>
        <v>0</v>
      </c>
      <c r="J396" s="49">
        <f t="shared" si="70"/>
        <v>12937.3</v>
      </c>
      <c r="K396" s="62">
        <f>'прил. 8'!L1070</f>
        <v>0</v>
      </c>
      <c r="L396" s="49">
        <f t="shared" si="68"/>
        <v>12937.3</v>
      </c>
      <c r="M396" s="62">
        <f>'прил. 8'!N1070</f>
        <v>0</v>
      </c>
      <c r="N396" s="49">
        <f t="shared" si="60"/>
        <v>12937.3</v>
      </c>
    </row>
    <row r="397" spans="1:14" x14ac:dyDescent="0.2">
      <c r="A397" s="50" t="str">
        <f ca="1">IF(ISERROR(MATCH(E397,Код_КВР,0)),"",INDIRECT(ADDRESS(MATCH(E397,Код_КВР,0)+1,2,,,"КВР")))</f>
        <v>Субсидии автономным учреждениям</v>
      </c>
      <c r="B397" s="79" t="s">
        <v>272</v>
      </c>
      <c r="C397" s="65" t="s">
        <v>81</v>
      </c>
      <c r="D397" s="46" t="s">
        <v>70</v>
      </c>
      <c r="E397" s="26">
        <v>620</v>
      </c>
      <c r="F397" s="62">
        <f>'прил. 8'!G1071</f>
        <v>7333.7999999999993</v>
      </c>
      <c r="G397" s="62">
        <f>'прил. 8'!H1071</f>
        <v>0</v>
      </c>
      <c r="H397" s="49">
        <f t="shared" si="59"/>
        <v>7333.7999999999993</v>
      </c>
      <c r="I397" s="62">
        <f>'прил. 8'!J1071</f>
        <v>0</v>
      </c>
      <c r="J397" s="49">
        <f t="shared" si="70"/>
        <v>7333.7999999999993</v>
      </c>
      <c r="K397" s="62">
        <f>'прил. 8'!L1071</f>
        <v>0</v>
      </c>
      <c r="L397" s="49">
        <f t="shared" si="68"/>
        <v>7333.7999999999993</v>
      </c>
      <c r="M397" s="62">
        <f>'прил. 8'!N1071</f>
        <v>0</v>
      </c>
      <c r="N397" s="49">
        <f t="shared" si="60"/>
        <v>7333.7999999999993</v>
      </c>
    </row>
    <row r="398" spans="1:14" x14ac:dyDescent="0.2">
      <c r="A398" s="74" t="s">
        <v>606</v>
      </c>
      <c r="B398" s="79" t="s">
        <v>272</v>
      </c>
      <c r="C398" s="65" t="s">
        <v>81</v>
      </c>
      <c r="D398" s="46" t="s">
        <v>72</v>
      </c>
      <c r="E398" s="26"/>
      <c r="F398" s="62">
        <f>F399</f>
        <v>1986.4</v>
      </c>
      <c r="G398" s="62">
        <f>G399</f>
        <v>0</v>
      </c>
      <c r="H398" s="49">
        <f t="shared" si="59"/>
        <v>1986.4</v>
      </c>
      <c r="I398" s="62">
        <f>I399</f>
        <v>0</v>
      </c>
      <c r="J398" s="49">
        <f t="shared" si="70"/>
        <v>1986.4</v>
      </c>
      <c r="K398" s="62">
        <f>K399</f>
        <v>0</v>
      </c>
      <c r="L398" s="49">
        <f t="shared" si="68"/>
        <v>1986.4</v>
      </c>
      <c r="M398" s="62">
        <f>M399</f>
        <v>0</v>
      </c>
      <c r="N398" s="49">
        <f t="shared" si="60"/>
        <v>1986.4</v>
      </c>
    </row>
    <row r="399" spans="1:14" ht="33" x14ac:dyDescent="0.2">
      <c r="A399" s="50" t="str">
        <f ca="1">IF(ISERROR(MATCH(E399,Код_КВР,0)),"",INDIRECT(ADDRESS(MATCH(E399,Код_КВР,0)+1,2,,,"КВР")))</f>
        <v>Предоставление субсидий бюджетным, автономным учреждениям и иным некоммерческим организациям</v>
      </c>
      <c r="B399" s="79" t="s">
        <v>272</v>
      </c>
      <c r="C399" s="65" t="s">
        <v>81</v>
      </c>
      <c r="D399" s="46" t="s">
        <v>72</v>
      </c>
      <c r="E399" s="26">
        <v>600</v>
      </c>
      <c r="F399" s="62">
        <f>F400</f>
        <v>1986.4</v>
      </c>
      <c r="G399" s="62">
        <f>G400</f>
        <v>0</v>
      </c>
      <c r="H399" s="49">
        <f t="shared" si="59"/>
        <v>1986.4</v>
      </c>
      <c r="I399" s="62">
        <f>I400</f>
        <v>0</v>
      </c>
      <c r="J399" s="49">
        <f t="shared" si="70"/>
        <v>1986.4</v>
      </c>
      <c r="K399" s="62">
        <f>K400</f>
        <v>0</v>
      </c>
      <c r="L399" s="49">
        <f t="shared" si="68"/>
        <v>1986.4</v>
      </c>
      <c r="M399" s="62">
        <f>M400</f>
        <v>0</v>
      </c>
      <c r="N399" s="49">
        <f t="shared" si="60"/>
        <v>1986.4</v>
      </c>
    </row>
    <row r="400" spans="1:14" x14ac:dyDescent="0.2">
      <c r="A400" s="50" t="str">
        <f ca="1">IF(ISERROR(MATCH(E400,Код_КВР,0)),"",INDIRECT(ADDRESS(MATCH(E400,Код_КВР,0)+1,2,,,"КВР")))</f>
        <v>Субсидии бюджетным учреждениям</v>
      </c>
      <c r="B400" s="79" t="s">
        <v>272</v>
      </c>
      <c r="C400" s="65" t="s">
        <v>81</v>
      </c>
      <c r="D400" s="46" t="s">
        <v>72</v>
      </c>
      <c r="E400" s="26">
        <v>610</v>
      </c>
      <c r="F400" s="62">
        <f>'прил. 8'!G1083</f>
        <v>1986.4</v>
      </c>
      <c r="G400" s="62">
        <f>'прил. 8'!H1083</f>
        <v>0</v>
      </c>
      <c r="H400" s="49">
        <f t="shared" ref="H400:H463" si="73">F400+G400</f>
        <v>1986.4</v>
      </c>
      <c r="I400" s="62">
        <f>'прил. 8'!J1083</f>
        <v>0</v>
      </c>
      <c r="J400" s="49">
        <f t="shared" si="70"/>
        <v>1986.4</v>
      </c>
      <c r="K400" s="62">
        <f>'прил. 8'!L1083</f>
        <v>0</v>
      </c>
      <c r="L400" s="49">
        <f t="shared" si="68"/>
        <v>1986.4</v>
      </c>
      <c r="M400" s="62">
        <f>'прил. 8'!N1083</f>
        <v>0</v>
      </c>
      <c r="N400" s="49">
        <f t="shared" si="60"/>
        <v>1986.4</v>
      </c>
    </row>
    <row r="401" spans="1:14" ht="49.5" x14ac:dyDescent="0.2">
      <c r="A401" s="50" t="str">
        <f ca="1">IF(ISERROR(MATCH(B401,Код_КЦСР,0)),"",INDIRECT(ADDRESS(MATCH(B401,Код_КЦСР,0)+1,2,,,"КЦСР")))</f>
        <v>Развитие детско-юношеского и массового спорта, в том числе: реализация дополнительных общеобразовательных общеразвивающих программ, реализация дополнительных предпрофессиональных программ</v>
      </c>
      <c r="B401" s="79" t="s">
        <v>273</v>
      </c>
      <c r="C401" s="65"/>
      <c r="D401" s="46"/>
      <c r="E401" s="26"/>
      <c r="F401" s="62">
        <f>F402</f>
        <v>138112.29999999999</v>
      </c>
      <c r="G401" s="62">
        <f>G402</f>
        <v>0</v>
      </c>
      <c r="H401" s="49">
        <f t="shared" si="73"/>
        <v>138112.29999999999</v>
      </c>
      <c r="I401" s="62">
        <f>I402</f>
        <v>0</v>
      </c>
      <c r="J401" s="49">
        <f t="shared" si="70"/>
        <v>138112.29999999999</v>
      </c>
      <c r="K401" s="62">
        <f>K402</f>
        <v>4367.2</v>
      </c>
      <c r="L401" s="49">
        <f t="shared" si="68"/>
        <v>142479.5</v>
      </c>
      <c r="M401" s="62">
        <f>M402</f>
        <v>0</v>
      </c>
      <c r="N401" s="49">
        <f t="shared" si="60"/>
        <v>142479.5</v>
      </c>
    </row>
    <row r="402" spans="1:14" x14ac:dyDescent="0.2">
      <c r="A402" s="50" t="str">
        <f ca="1">IF(ISERROR(MATCH(C402,Код_Раздел,0)),"",INDIRECT(ADDRESS(MATCH(C402,Код_Раздел,0)+1,2,,,"Раздел")))</f>
        <v>Образование</v>
      </c>
      <c r="B402" s="79" t="s">
        <v>273</v>
      </c>
      <c r="C402" s="65" t="s">
        <v>60</v>
      </c>
      <c r="D402" s="46"/>
      <c r="E402" s="26"/>
      <c r="F402" s="62">
        <f>F403+F407</f>
        <v>138112.29999999999</v>
      </c>
      <c r="G402" s="62">
        <f>G403+G407</f>
        <v>0</v>
      </c>
      <c r="H402" s="49">
        <f t="shared" si="73"/>
        <v>138112.29999999999</v>
      </c>
      <c r="I402" s="62">
        <f>I403+I407</f>
        <v>0</v>
      </c>
      <c r="J402" s="49">
        <f t="shared" si="70"/>
        <v>138112.29999999999</v>
      </c>
      <c r="K402" s="62">
        <f>K403+K407</f>
        <v>4367.2</v>
      </c>
      <c r="L402" s="49">
        <f t="shared" si="68"/>
        <v>142479.5</v>
      </c>
      <c r="M402" s="62">
        <f>M403+M407</f>
        <v>0</v>
      </c>
      <c r="N402" s="49">
        <f t="shared" ref="N402:N465" si="74">L402+M402</f>
        <v>142479.5</v>
      </c>
    </row>
    <row r="403" spans="1:14" x14ac:dyDescent="0.2">
      <c r="A403" s="45" t="s">
        <v>465</v>
      </c>
      <c r="B403" s="79" t="s">
        <v>273</v>
      </c>
      <c r="C403" s="65" t="s">
        <v>60</v>
      </c>
      <c r="D403" s="46" t="s">
        <v>72</v>
      </c>
      <c r="E403" s="26"/>
      <c r="F403" s="62">
        <f>F404</f>
        <v>137344.5</v>
      </c>
      <c r="G403" s="62">
        <f>G404</f>
        <v>0</v>
      </c>
      <c r="H403" s="49">
        <f t="shared" si="73"/>
        <v>137344.5</v>
      </c>
      <c r="I403" s="62">
        <f>I404</f>
        <v>0</v>
      </c>
      <c r="J403" s="49">
        <f t="shared" si="70"/>
        <v>137344.5</v>
      </c>
      <c r="K403" s="62">
        <f>K404</f>
        <v>4367.2</v>
      </c>
      <c r="L403" s="49">
        <f t="shared" si="68"/>
        <v>141711.70000000001</v>
      </c>
      <c r="M403" s="62">
        <f>M404</f>
        <v>0</v>
      </c>
      <c r="N403" s="49">
        <f t="shared" si="74"/>
        <v>141711.70000000001</v>
      </c>
    </row>
    <row r="404" spans="1:14" ht="33" x14ac:dyDescent="0.2">
      <c r="A404" s="50" t="str">
        <f ca="1">IF(ISERROR(MATCH(E404,Код_КВР,0)),"",INDIRECT(ADDRESS(MATCH(E404,Код_КВР,0)+1,2,,,"КВР")))</f>
        <v>Предоставление субсидий бюджетным, автономным учреждениям и иным некоммерческим организациям</v>
      </c>
      <c r="B404" s="79" t="s">
        <v>273</v>
      </c>
      <c r="C404" s="65" t="s">
        <v>60</v>
      </c>
      <c r="D404" s="46" t="s">
        <v>72</v>
      </c>
      <c r="E404" s="26">
        <v>600</v>
      </c>
      <c r="F404" s="62">
        <f>F405+F406</f>
        <v>137344.5</v>
      </c>
      <c r="G404" s="62">
        <f>G405+G406</f>
        <v>0</v>
      </c>
      <c r="H404" s="49">
        <f t="shared" si="73"/>
        <v>137344.5</v>
      </c>
      <c r="I404" s="62">
        <f>I405+I406</f>
        <v>0</v>
      </c>
      <c r="J404" s="49">
        <f t="shared" si="70"/>
        <v>137344.5</v>
      </c>
      <c r="K404" s="62">
        <f>K405+K406</f>
        <v>4367.2</v>
      </c>
      <c r="L404" s="49">
        <f t="shared" si="68"/>
        <v>141711.70000000001</v>
      </c>
      <c r="M404" s="62">
        <f>M405+M406</f>
        <v>0</v>
      </c>
      <c r="N404" s="49">
        <f t="shared" si="74"/>
        <v>141711.70000000001</v>
      </c>
    </row>
    <row r="405" spans="1:14" x14ac:dyDescent="0.2">
      <c r="A405" s="50" t="str">
        <f ca="1">IF(ISERROR(MATCH(E405,Код_КВР,0)),"",INDIRECT(ADDRESS(MATCH(E405,Код_КВР,0)+1,2,,,"КВР")))</f>
        <v>Субсидии бюджетным учреждениям</v>
      </c>
      <c r="B405" s="79" t="s">
        <v>273</v>
      </c>
      <c r="C405" s="65" t="s">
        <v>60</v>
      </c>
      <c r="D405" s="46" t="s">
        <v>72</v>
      </c>
      <c r="E405" s="26">
        <v>610</v>
      </c>
      <c r="F405" s="62">
        <f>'прил. 8'!G1057</f>
        <v>107039.3</v>
      </c>
      <c r="G405" s="62">
        <f>'прил. 8'!H1057</f>
        <v>0</v>
      </c>
      <c r="H405" s="49">
        <f t="shared" si="73"/>
        <v>107039.3</v>
      </c>
      <c r="I405" s="62">
        <f>'прил. 8'!J1057</f>
        <v>0</v>
      </c>
      <c r="J405" s="49">
        <f t="shared" si="70"/>
        <v>107039.3</v>
      </c>
      <c r="K405" s="62">
        <f>'прил. 8'!L1057</f>
        <v>4367.2</v>
      </c>
      <c r="L405" s="49">
        <f t="shared" si="68"/>
        <v>111406.5</v>
      </c>
      <c r="M405" s="62">
        <f>'прил. 8'!N1057</f>
        <v>0</v>
      </c>
      <c r="N405" s="49">
        <f t="shared" si="74"/>
        <v>111406.5</v>
      </c>
    </row>
    <row r="406" spans="1:14" x14ac:dyDescent="0.2">
      <c r="A406" s="50" t="str">
        <f ca="1">IF(ISERROR(MATCH(E406,Код_КВР,0)),"",INDIRECT(ADDRESS(MATCH(E406,Код_КВР,0)+1,2,,,"КВР")))</f>
        <v>Субсидии автономным учреждениям</v>
      </c>
      <c r="B406" s="79" t="s">
        <v>273</v>
      </c>
      <c r="C406" s="65" t="s">
        <v>60</v>
      </c>
      <c r="D406" s="46" t="s">
        <v>72</v>
      </c>
      <c r="E406" s="26">
        <v>620</v>
      </c>
      <c r="F406" s="62">
        <f>'прил. 8'!G1058</f>
        <v>30305.200000000001</v>
      </c>
      <c r="G406" s="62">
        <f>'прил. 8'!H1058</f>
        <v>0</v>
      </c>
      <c r="H406" s="49">
        <f t="shared" si="73"/>
        <v>30305.200000000001</v>
      </c>
      <c r="I406" s="62">
        <f>'прил. 8'!J1058</f>
        <v>0</v>
      </c>
      <c r="J406" s="49">
        <f t="shared" si="70"/>
        <v>30305.200000000001</v>
      </c>
      <c r="K406" s="62">
        <f>'прил. 8'!L1058</f>
        <v>0</v>
      </c>
      <c r="L406" s="49">
        <f t="shared" si="68"/>
        <v>30305.200000000001</v>
      </c>
      <c r="M406" s="62">
        <f>'прил. 8'!N1058</f>
        <v>0</v>
      </c>
      <c r="N406" s="49">
        <f t="shared" si="74"/>
        <v>30305.200000000001</v>
      </c>
    </row>
    <row r="407" spans="1:14" x14ac:dyDescent="0.2">
      <c r="A407" s="45" t="s">
        <v>532</v>
      </c>
      <c r="B407" s="79" t="s">
        <v>273</v>
      </c>
      <c r="C407" s="65" t="s">
        <v>60</v>
      </c>
      <c r="D407" s="46" t="s">
        <v>78</v>
      </c>
      <c r="E407" s="26"/>
      <c r="F407" s="62">
        <f>F408</f>
        <v>767.8</v>
      </c>
      <c r="G407" s="62">
        <f>G408</f>
        <v>0</v>
      </c>
      <c r="H407" s="49">
        <f t="shared" si="73"/>
        <v>767.8</v>
      </c>
      <c r="I407" s="62">
        <f>I408</f>
        <v>0</v>
      </c>
      <c r="J407" s="49">
        <f t="shared" si="70"/>
        <v>767.8</v>
      </c>
      <c r="K407" s="62">
        <f>K408</f>
        <v>0</v>
      </c>
      <c r="L407" s="49">
        <f t="shared" si="68"/>
        <v>767.8</v>
      </c>
      <c r="M407" s="62">
        <f>M408</f>
        <v>0</v>
      </c>
      <c r="N407" s="49">
        <f t="shared" si="74"/>
        <v>767.8</v>
      </c>
    </row>
    <row r="408" spans="1:14" ht="33" x14ac:dyDescent="0.2">
      <c r="A408" s="50" t="str">
        <f ca="1">IF(ISERROR(MATCH(E408,Код_КВР,0)),"",INDIRECT(ADDRESS(MATCH(E408,Код_КВР,0)+1,2,,,"КВР")))</f>
        <v>Предоставление субсидий бюджетным, автономным учреждениям и иным некоммерческим организациям</v>
      </c>
      <c r="B408" s="79" t="s">
        <v>273</v>
      </c>
      <c r="C408" s="65" t="s">
        <v>60</v>
      </c>
      <c r="D408" s="46" t="s">
        <v>78</v>
      </c>
      <c r="E408" s="26">
        <v>600</v>
      </c>
      <c r="F408" s="62">
        <f>F409+F410</f>
        <v>767.8</v>
      </c>
      <c r="G408" s="62">
        <f>G409+G410</f>
        <v>0</v>
      </c>
      <c r="H408" s="49">
        <f t="shared" si="73"/>
        <v>767.8</v>
      </c>
      <c r="I408" s="62">
        <f>I409+I410</f>
        <v>0</v>
      </c>
      <c r="J408" s="49">
        <f t="shared" si="70"/>
        <v>767.8</v>
      </c>
      <c r="K408" s="62">
        <f>K409+K410</f>
        <v>0</v>
      </c>
      <c r="L408" s="49">
        <f t="shared" si="68"/>
        <v>767.8</v>
      </c>
      <c r="M408" s="62">
        <f>M409+M410</f>
        <v>0</v>
      </c>
      <c r="N408" s="49">
        <f t="shared" si="74"/>
        <v>767.8</v>
      </c>
    </row>
    <row r="409" spans="1:14" x14ac:dyDescent="0.2">
      <c r="A409" s="50" t="str">
        <f ca="1">IF(ISERROR(MATCH(E409,Код_КВР,0)),"",INDIRECT(ADDRESS(MATCH(E409,Код_КВР,0)+1,2,,,"КВР")))</f>
        <v>Субсидии бюджетным учреждениям</v>
      </c>
      <c r="B409" s="79" t="s">
        <v>273</v>
      </c>
      <c r="C409" s="65" t="s">
        <v>60</v>
      </c>
      <c r="D409" s="46" t="s">
        <v>78</v>
      </c>
      <c r="E409" s="26">
        <v>610</v>
      </c>
      <c r="F409" s="62">
        <f>'прил. 8'!G1063</f>
        <v>467.8</v>
      </c>
      <c r="G409" s="62">
        <f>'прил. 8'!H1063</f>
        <v>0</v>
      </c>
      <c r="H409" s="49">
        <f t="shared" si="73"/>
        <v>467.8</v>
      </c>
      <c r="I409" s="62">
        <f>'прил. 8'!J1063</f>
        <v>0</v>
      </c>
      <c r="J409" s="49">
        <f t="shared" si="70"/>
        <v>467.8</v>
      </c>
      <c r="K409" s="62">
        <f>'прил. 8'!L1063</f>
        <v>0</v>
      </c>
      <c r="L409" s="49">
        <f t="shared" si="68"/>
        <v>467.8</v>
      </c>
      <c r="M409" s="62">
        <f>'прил. 8'!N1063</f>
        <v>0</v>
      </c>
      <c r="N409" s="49">
        <f t="shared" si="74"/>
        <v>467.8</v>
      </c>
    </row>
    <row r="410" spans="1:14" x14ac:dyDescent="0.2">
      <c r="A410" s="50" t="str">
        <f ca="1">IF(ISERROR(MATCH(E410,Код_КВР,0)),"",INDIRECT(ADDRESS(MATCH(E410,Код_КВР,0)+1,2,,,"КВР")))</f>
        <v>Субсидии автономным учреждениям</v>
      </c>
      <c r="B410" s="79" t="s">
        <v>273</v>
      </c>
      <c r="C410" s="65" t="s">
        <v>60</v>
      </c>
      <c r="D410" s="46" t="s">
        <v>78</v>
      </c>
      <c r="E410" s="26">
        <v>620</v>
      </c>
      <c r="F410" s="62">
        <f>'прил. 8'!G1064</f>
        <v>300</v>
      </c>
      <c r="G410" s="62">
        <f>'прил. 8'!H1064</f>
        <v>0</v>
      </c>
      <c r="H410" s="49">
        <f t="shared" si="73"/>
        <v>300</v>
      </c>
      <c r="I410" s="62">
        <f>'прил. 8'!J1064</f>
        <v>0</v>
      </c>
      <c r="J410" s="49">
        <f t="shared" si="70"/>
        <v>300</v>
      </c>
      <c r="K410" s="62">
        <f>'прил. 8'!L1064</f>
        <v>0</v>
      </c>
      <c r="L410" s="49">
        <f t="shared" si="68"/>
        <v>300</v>
      </c>
      <c r="M410" s="62">
        <f>'прил. 8'!N1064</f>
        <v>0</v>
      </c>
      <c r="N410" s="49">
        <f t="shared" si="74"/>
        <v>300</v>
      </c>
    </row>
    <row r="411" spans="1:14" x14ac:dyDescent="0.2">
      <c r="A411" s="50" t="str">
        <f ca="1">IF(ISERROR(MATCH(B411,Код_КЦСР,0)),"",INDIRECT(ADDRESS(MATCH(B411,Код_КЦСР,0)+1,2,,,"КЦСР")))</f>
        <v>Организация и ведение бухгалтерского (бюджетного) учета и отчетности</v>
      </c>
      <c r="B411" s="79" t="s">
        <v>274</v>
      </c>
      <c r="C411" s="65"/>
      <c r="D411" s="46"/>
      <c r="E411" s="26"/>
      <c r="F411" s="62">
        <f t="shared" ref="F411:M414" si="75">F412</f>
        <v>4832.0999999999995</v>
      </c>
      <c r="G411" s="62">
        <f t="shared" si="75"/>
        <v>0</v>
      </c>
      <c r="H411" s="49">
        <f t="shared" si="73"/>
        <v>4832.0999999999995</v>
      </c>
      <c r="I411" s="62">
        <f t="shared" si="75"/>
        <v>0</v>
      </c>
      <c r="J411" s="49">
        <f t="shared" si="70"/>
        <v>4832.0999999999995</v>
      </c>
      <c r="K411" s="62">
        <f t="shared" si="75"/>
        <v>0</v>
      </c>
      <c r="L411" s="49">
        <f t="shared" si="68"/>
        <v>4832.0999999999995</v>
      </c>
      <c r="M411" s="62">
        <f t="shared" si="75"/>
        <v>0</v>
      </c>
      <c r="N411" s="49">
        <f t="shared" si="74"/>
        <v>4832.0999999999995</v>
      </c>
    </row>
    <row r="412" spans="1:14" x14ac:dyDescent="0.2">
      <c r="A412" s="50" t="str">
        <f ca="1">IF(ISERROR(MATCH(C412,Код_Раздел,0)),"",INDIRECT(ADDRESS(MATCH(C412,Код_Раздел,0)+1,2,,,"Раздел")))</f>
        <v>Физическая культура и спорт</v>
      </c>
      <c r="B412" s="79" t="s">
        <v>274</v>
      </c>
      <c r="C412" s="65" t="s">
        <v>81</v>
      </c>
      <c r="D412" s="46"/>
      <c r="E412" s="26"/>
      <c r="F412" s="62">
        <f t="shared" si="75"/>
        <v>4832.0999999999995</v>
      </c>
      <c r="G412" s="62">
        <f t="shared" si="75"/>
        <v>0</v>
      </c>
      <c r="H412" s="49">
        <f t="shared" si="73"/>
        <v>4832.0999999999995</v>
      </c>
      <c r="I412" s="62">
        <f t="shared" si="75"/>
        <v>0</v>
      </c>
      <c r="J412" s="49">
        <f t="shared" si="70"/>
        <v>4832.0999999999995</v>
      </c>
      <c r="K412" s="62">
        <f t="shared" si="75"/>
        <v>0</v>
      </c>
      <c r="L412" s="49">
        <f t="shared" si="68"/>
        <v>4832.0999999999995</v>
      </c>
      <c r="M412" s="62">
        <f t="shared" si="75"/>
        <v>0</v>
      </c>
      <c r="N412" s="49">
        <f t="shared" si="74"/>
        <v>4832.0999999999995</v>
      </c>
    </row>
    <row r="413" spans="1:14" x14ac:dyDescent="0.2">
      <c r="A413" s="45" t="s">
        <v>57</v>
      </c>
      <c r="B413" s="79" t="s">
        <v>274</v>
      </c>
      <c r="C413" s="65" t="s">
        <v>81</v>
      </c>
      <c r="D413" s="46" t="s">
        <v>78</v>
      </c>
      <c r="E413" s="26"/>
      <c r="F413" s="62">
        <f>F414+F416</f>
        <v>4832.0999999999995</v>
      </c>
      <c r="G413" s="62">
        <f>G414+G416</f>
        <v>0</v>
      </c>
      <c r="H413" s="49">
        <f t="shared" si="73"/>
        <v>4832.0999999999995</v>
      </c>
      <c r="I413" s="62">
        <f>I414+I416</f>
        <v>0</v>
      </c>
      <c r="J413" s="49">
        <f t="shared" si="70"/>
        <v>4832.0999999999995</v>
      </c>
      <c r="K413" s="62">
        <f>K414+K416</f>
        <v>0</v>
      </c>
      <c r="L413" s="49">
        <f t="shared" si="68"/>
        <v>4832.0999999999995</v>
      </c>
      <c r="M413" s="62">
        <f>M414+M416</f>
        <v>0</v>
      </c>
      <c r="N413" s="49">
        <f t="shared" si="74"/>
        <v>4832.0999999999995</v>
      </c>
    </row>
    <row r="414" spans="1:14" ht="49.5" x14ac:dyDescent="0.2">
      <c r="A414" s="50" t="str">
        <f t="shared" ref="A414:A417" ca="1" si="76">IF(ISERROR(MATCH(E414,Код_КВР,0)),"",INDIRECT(ADDRESS(MATCH(E414,Код_КВР,0)+1,2,,,"КВР")))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14" s="79" t="s">
        <v>274</v>
      </c>
      <c r="C414" s="65" t="s">
        <v>81</v>
      </c>
      <c r="D414" s="46" t="s">
        <v>78</v>
      </c>
      <c r="E414" s="26">
        <v>100</v>
      </c>
      <c r="F414" s="62">
        <f t="shared" si="75"/>
        <v>4368.7</v>
      </c>
      <c r="G414" s="62">
        <f t="shared" si="75"/>
        <v>0</v>
      </c>
      <c r="H414" s="49">
        <f t="shared" si="73"/>
        <v>4368.7</v>
      </c>
      <c r="I414" s="62">
        <f t="shared" si="75"/>
        <v>0</v>
      </c>
      <c r="J414" s="49">
        <f t="shared" si="70"/>
        <v>4368.7</v>
      </c>
      <c r="K414" s="62">
        <f t="shared" si="75"/>
        <v>0</v>
      </c>
      <c r="L414" s="49">
        <f t="shared" si="68"/>
        <v>4368.7</v>
      </c>
      <c r="M414" s="62">
        <f t="shared" si="75"/>
        <v>0</v>
      </c>
      <c r="N414" s="49">
        <f t="shared" si="74"/>
        <v>4368.7</v>
      </c>
    </row>
    <row r="415" spans="1:14" x14ac:dyDescent="0.2">
      <c r="A415" s="50" t="str">
        <f t="shared" ca="1" si="76"/>
        <v>Расходы на выплаты персоналу казенных учреждений</v>
      </c>
      <c r="B415" s="79" t="s">
        <v>274</v>
      </c>
      <c r="C415" s="65" t="s">
        <v>81</v>
      </c>
      <c r="D415" s="46" t="s">
        <v>78</v>
      </c>
      <c r="E415" s="26">
        <v>110</v>
      </c>
      <c r="F415" s="62">
        <f>'прил. 8'!G1091</f>
        <v>4368.7</v>
      </c>
      <c r="G415" s="62">
        <f>'прил. 8'!H1091</f>
        <v>0</v>
      </c>
      <c r="H415" s="49">
        <f t="shared" si="73"/>
        <v>4368.7</v>
      </c>
      <c r="I415" s="62">
        <f>'прил. 8'!J1091</f>
        <v>0</v>
      </c>
      <c r="J415" s="49">
        <f t="shared" si="70"/>
        <v>4368.7</v>
      </c>
      <c r="K415" s="62">
        <f>'прил. 8'!L1091</f>
        <v>0</v>
      </c>
      <c r="L415" s="49">
        <f t="shared" si="68"/>
        <v>4368.7</v>
      </c>
      <c r="M415" s="62">
        <f>'прил. 8'!N1091</f>
        <v>0</v>
      </c>
      <c r="N415" s="49">
        <f t="shared" si="74"/>
        <v>4368.7</v>
      </c>
    </row>
    <row r="416" spans="1:14" ht="33" x14ac:dyDescent="0.2">
      <c r="A416" s="50" t="str">
        <f t="shared" ca="1" si="76"/>
        <v>Закупка товаров, работ и услуг для обеспечения государственных (муниципальных) нужд</v>
      </c>
      <c r="B416" s="79" t="s">
        <v>274</v>
      </c>
      <c r="C416" s="65" t="s">
        <v>81</v>
      </c>
      <c r="D416" s="46" t="s">
        <v>78</v>
      </c>
      <c r="E416" s="26">
        <v>200</v>
      </c>
      <c r="F416" s="62">
        <f>F417</f>
        <v>463.4</v>
      </c>
      <c r="G416" s="62">
        <f>G417</f>
        <v>0</v>
      </c>
      <c r="H416" s="49">
        <f t="shared" si="73"/>
        <v>463.4</v>
      </c>
      <c r="I416" s="62">
        <f>I417</f>
        <v>0</v>
      </c>
      <c r="J416" s="49">
        <f t="shared" si="70"/>
        <v>463.4</v>
      </c>
      <c r="K416" s="62">
        <f>K417</f>
        <v>0</v>
      </c>
      <c r="L416" s="49">
        <f t="shared" si="68"/>
        <v>463.4</v>
      </c>
      <c r="M416" s="62">
        <f>M417</f>
        <v>0</v>
      </c>
      <c r="N416" s="49">
        <f t="shared" si="74"/>
        <v>463.4</v>
      </c>
    </row>
    <row r="417" spans="1:14" ht="33" x14ac:dyDescent="0.2">
      <c r="A417" s="50" t="str">
        <f t="shared" ca="1" si="76"/>
        <v>Иные закупки товаров, работ и услуг для обеспечения государственных (муниципальных) нужд</v>
      </c>
      <c r="B417" s="79" t="s">
        <v>274</v>
      </c>
      <c r="C417" s="65" t="s">
        <v>81</v>
      </c>
      <c r="D417" s="46" t="s">
        <v>78</v>
      </c>
      <c r="E417" s="26">
        <v>240</v>
      </c>
      <c r="F417" s="62">
        <f>'прил. 8'!G1093</f>
        <v>463.4</v>
      </c>
      <c r="G417" s="62">
        <f>'прил. 8'!H1093</f>
        <v>0</v>
      </c>
      <c r="H417" s="49">
        <f t="shared" si="73"/>
        <v>463.4</v>
      </c>
      <c r="I417" s="62">
        <f>'прил. 8'!J1093</f>
        <v>0</v>
      </c>
      <c r="J417" s="49">
        <f t="shared" si="70"/>
        <v>463.4</v>
      </c>
      <c r="K417" s="62">
        <f>'прил. 8'!L1093</f>
        <v>0</v>
      </c>
      <c r="L417" s="49">
        <f t="shared" si="68"/>
        <v>463.4</v>
      </c>
      <c r="M417" s="62">
        <f>'прил. 8'!N1093</f>
        <v>0</v>
      </c>
      <c r="N417" s="49">
        <f t="shared" si="74"/>
        <v>463.4</v>
      </c>
    </row>
    <row r="418" spans="1:14" x14ac:dyDescent="0.2">
      <c r="A418" s="50" t="str">
        <f ca="1">IF(ISERROR(MATCH(B418,Код_КЦСР,0)),"",INDIRECT(ADDRESS(MATCH(B418,Код_КЦСР,0)+1,2,,,"КЦСР")))</f>
        <v>Популяризация физической культуры и спорта и здорового образа жизни</v>
      </c>
      <c r="B418" s="79" t="s">
        <v>275</v>
      </c>
      <c r="C418" s="65"/>
      <c r="D418" s="46"/>
      <c r="E418" s="26"/>
      <c r="F418" s="62">
        <f t="shared" ref="F418:M419" si="77">F419</f>
        <v>6692</v>
      </c>
      <c r="G418" s="62">
        <f t="shared" si="77"/>
        <v>0</v>
      </c>
      <c r="H418" s="49">
        <f t="shared" si="73"/>
        <v>6692</v>
      </c>
      <c r="I418" s="62">
        <f t="shared" si="77"/>
        <v>0</v>
      </c>
      <c r="J418" s="49">
        <f t="shared" si="70"/>
        <v>6692</v>
      </c>
      <c r="K418" s="62">
        <f t="shared" si="77"/>
        <v>0</v>
      </c>
      <c r="L418" s="49">
        <f t="shared" si="68"/>
        <v>6692</v>
      </c>
      <c r="M418" s="62">
        <f t="shared" si="77"/>
        <v>0</v>
      </c>
      <c r="N418" s="49">
        <f t="shared" si="74"/>
        <v>6692</v>
      </c>
    </row>
    <row r="419" spans="1:14" x14ac:dyDescent="0.2">
      <c r="A419" s="50" t="str">
        <f ca="1">IF(ISERROR(MATCH(C419,Код_Раздел,0)),"",INDIRECT(ADDRESS(MATCH(C419,Код_Раздел,0)+1,2,,,"Раздел")))</f>
        <v>Физическая культура и спорт</v>
      </c>
      <c r="B419" s="79" t="s">
        <v>275</v>
      </c>
      <c r="C419" s="65" t="s">
        <v>81</v>
      </c>
      <c r="D419" s="46"/>
      <c r="E419" s="26"/>
      <c r="F419" s="62">
        <f t="shared" si="77"/>
        <v>6692</v>
      </c>
      <c r="G419" s="62">
        <f t="shared" si="77"/>
        <v>0</v>
      </c>
      <c r="H419" s="49">
        <f t="shared" si="73"/>
        <v>6692</v>
      </c>
      <c r="I419" s="62">
        <f t="shared" si="77"/>
        <v>0</v>
      </c>
      <c r="J419" s="49">
        <f t="shared" si="70"/>
        <v>6692</v>
      </c>
      <c r="K419" s="62">
        <f t="shared" si="77"/>
        <v>0</v>
      </c>
      <c r="L419" s="49">
        <f t="shared" si="68"/>
        <v>6692</v>
      </c>
      <c r="M419" s="62">
        <f t="shared" si="77"/>
        <v>0</v>
      </c>
      <c r="N419" s="49">
        <f t="shared" si="74"/>
        <v>6692</v>
      </c>
    </row>
    <row r="420" spans="1:14" x14ac:dyDescent="0.2">
      <c r="A420" s="45" t="s">
        <v>51</v>
      </c>
      <c r="B420" s="79" t="s">
        <v>275</v>
      </c>
      <c r="C420" s="65" t="s">
        <v>81</v>
      </c>
      <c r="D420" s="46" t="s">
        <v>70</v>
      </c>
      <c r="E420" s="26"/>
      <c r="F420" s="62">
        <f>F421</f>
        <v>6692</v>
      </c>
      <c r="G420" s="62">
        <f>G421</f>
        <v>0</v>
      </c>
      <c r="H420" s="49">
        <f t="shared" si="73"/>
        <v>6692</v>
      </c>
      <c r="I420" s="62">
        <f>I421</f>
        <v>0</v>
      </c>
      <c r="J420" s="49">
        <f t="shared" si="70"/>
        <v>6692</v>
      </c>
      <c r="K420" s="62">
        <f>K421</f>
        <v>0</v>
      </c>
      <c r="L420" s="49">
        <f t="shared" si="68"/>
        <v>6692</v>
      </c>
      <c r="M420" s="62">
        <f>M421</f>
        <v>0</v>
      </c>
      <c r="N420" s="49">
        <f t="shared" si="74"/>
        <v>6692</v>
      </c>
    </row>
    <row r="421" spans="1:14" ht="33" x14ac:dyDescent="0.2">
      <c r="A421" s="50" t="str">
        <f ca="1">IF(ISERROR(MATCH(E421,Код_КВР,0)),"",INDIRECT(ADDRESS(MATCH(E421,Код_КВР,0)+1,2,,,"КВР")))</f>
        <v>Предоставление субсидий бюджетным, автономным учреждениям и иным некоммерческим организациям</v>
      </c>
      <c r="B421" s="79" t="s">
        <v>275</v>
      </c>
      <c r="C421" s="65" t="s">
        <v>81</v>
      </c>
      <c r="D421" s="46" t="s">
        <v>70</v>
      </c>
      <c r="E421" s="26">
        <v>600</v>
      </c>
      <c r="F421" s="62">
        <f>F422+F423</f>
        <v>6692</v>
      </c>
      <c r="G421" s="62">
        <f>G422+G423</f>
        <v>0</v>
      </c>
      <c r="H421" s="49">
        <f t="shared" si="73"/>
        <v>6692</v>
      </c>
      <c r="I421" s="62">
        <f>I422+I423</f>
        <v>0</v>
      </c>
      <c r="J421" s="49">
        <f t="shared" si="70"/>
        <v>6692</v>
      </c>
      <c r="K421" s="62">
        <f>K422+K423</f>
        <v>0</v>
      </c>
      <c r="L421" s="49">
        <f t="shared" si="68"/>
        <v>6692</v>
      </c>
      <c r="M421" s="62">
        <f>M422+M423</f>
        <v>0</v>
      </c>
      <c r="N421" s="49">
        <f t="shared" si="74"/>
        <v>6692</v>
      </c>
    </row>
    <row r="422" spans="1:14" x14ac:dyDescent="0.2">
      <c r="A422" s="50" t="str">
        <f ca="1">IF(ISERROR(MATCH(E422,Код_КВР,0)),"",INDIRECT(ADDRESS(MATCH(E422,Код_КВР,0)+1,2,,,"КВР")))</f>
        <v>Субсидии бюджетным учреждениям</v>
      </c>
      <c r="B422" s="79" t="s">
        <v>275</v>
      </c>
      <c r="C422" s="65" t="s">
        <v>81</v>
      </c>
      <c r="D422" s="46" t="s">
        <v>70</v>
      </c>
      <c r="E422" s="26">
        <v>610</v>
      </c>
      <c r="F422" s="62">
        <f>'прил. 8'!G1074</f>
        <v>2735.1</v>
      </c>
      <c r="G422" s="62">
        <f>'прил. 8'!H1074</f>
        <v>0</v>
      </c>
      <c r="H422" s="49">
        <f t="shared" si="73"/>
        <v>2735.1</v>
      </c>
      <c r="I422" s="62">
        <f>'прил. 8'!J1074</f>
        <v>0</v>
      </c>
      <c r="J422" s="49">
        <f t="shared" si="70"/>
        <v>2735.1</v>
      </c>
      <c r="K422" s="62">
        <f>'прил. 8'!L1074</f>
        <v>0</v>
      </c>
      <c r="L422" s="49">
        <f t="shared" si="68"/>
        <v>2735.1</v>
      </c>
      <c r="M422" s="62">
        <f>'прил. 8'!N1074</f>
        <v>0</v>
      </c>
      <c r="N422" s="49">
        <f t="shared" si="74"/>
        <v>2735.1</v>
      </c>
    </row>
    <row r="423" spans="1:14" x14ac:dyDescent="0.2">
      <c r="A423" s="50" t="str">
        <f ca="1">IF(ISERROR(MATCH(E423,Код_КВР,0)),"",INDIRECT(ADDRESS(MATCH(E423,Код_КВР,0)+1,2,,,"КВР")))</f>
        <v>Субсидии автономным учреждениям</v>
      </c>
      <c r="B423" s="79" t="s">
        <v>275</v>
      </c>
      <c r="C423" s="65" t="s">
        <v>81</v>
      </c>
      <c r="D423" s="46" t="s">
        <v>70</v>
      </c>
      <c r="E423" s="26">
        <v>620</v>
      </c>
      <c r="F423" s="62">
        <f>'прил. 8'!G1075</f>
        <v>3956.9</v>
      </c>
      <c r="G423" s="62">
        <f>'прил. 8'!H1075</f>
        <v>0</v>
      </c>
      <c r="H423" s="49">
        <f t="shared" si="73"/>
        <v>3956.9</v>
      </c>
      <c r="I423" s="62">
        <f>'прил. 8'!J1075</f>
        <v>0</v>
      </c>
      <c r="J423" s="49">
        <f t="shared" si="70"/>
        <v>3956.9</v>
      </c>
      <c r="K423" s="62">
        <f>'прил. 8'!L1075</f>
        <v>0</v>
      </c>
      <c r="L423" s="49">
        <f t="shared" si="68"/>
        <v>3956.9</v>
      </c>
      <c r="M423" s="62">
        <f>'прил. 8'!N1075</f>
        <v>0</v>
      </c>
      <c r="N423" s="49">
        <f t="shared" si="74"/>
        <v>3956.9</v>
      </c>
    </row>
    <row r="424" spans="1:14" ht="33" x14ac:dyDescent="0.2">
      <c r="A424" s="50" t="str">
        <f ca="1">IF(ISERROR(MATCH(B424,Код_КЦСР,0)),"",INDIRECT(ADDRESS(MATCH(B424,Код_КЦСР,0)+1,2,,,"КЦСР")))</f>
        <v>Организация работ по реализации целей, задач комитета, выполнения его функциональных обязанностей и реализации муниципальной программы</v>
      </c>
      <c r="B424" s="79" t="s">
        <v>277</v>
      </c>
      <c r="C424" s="65"/>
      <c r="D424" s="46"/>
      <c r="E424" s="26"/>
      <c r="F424" s="62">
        <f t="shared" ref="F424:M426" si="78">F425</f>
        <v>4394.6000000000004</v>
      </c>
      <c r="G424" s="62">
        <f t="shared" si="78"/>
        <v>0</v>
      </c>
      <c r="H424" s="49">
        <f t="shared" si="73"/>
        <v>4394.6000000000004</v>
      </c>
      <c r="I424" s="62">
        <f t="shared" si="78"/>
        <v>0</v>
      </c>
      <c r="J424" s="49">
        <f t="shared" si="70"/>
        <v>4394.6000000000004</v>
      </c>
      <c r="K424" s="62">
        <f t="shared" si="78"/>
        <v>0</v>
      </c>
      <c r="L424" s="49">
        <f t="shared" si="68"/>
        <v>4394.6000000000004</v>
      </c>
      <c r="M424" s="62">
        <f t="shared" si="78"/>
        <v>0</v>
      </c>
      <c r="N424" s="49">
        <f t="shared" si="74"/>
        <v>4394.6000000000004</v>
      </c>
    </row>
    <row r="425" spans="1:14" x14ac:dyDescent="0.2">
      <c r="A425" s="50" t="str">
        <f ca="1">IF(ISERROR(MATCH(B425,Код_КЦСР,0)),"",INDIRECT(ADDRESS(MATCH(B425,Код_КЦСР,0)+1,2,,,"КЦСР")))</f>
        <v>Расходы на обеспечение функций органов местного самоуправления</v>
      </c>
      <c r="B425" s="79" t="s">
        <v>278</v>
      </c>
      <c r="C425" s="65"/>
      <c r="D425" s="46"/>
      <c r="E425" s="26"/>
      <c r="F425" s="62">
        <f t="shared" si="78"/>
        <v>4394.6000000000004</v>
      </c>
      <c r="G425" s="62">
        <f t="shared" si="78"/>
        <v>0</v>
      </c>
      <c r="H425" s="49">
        <f t="shared" si="73"/>
        <v>4394.6000000000004</v>
      </c>
      <c r="I425" s="62">
        <f t="shared" si="78"/>
        <v>0</v>
      </c>
      <c r="J425" s="49">
        <f t="shared" si="70"/>
        <v>4394.6000000000004</v>
      </c>
      <c r="K425" s="62">
        <f t="shared" si="78"/>
        <v>0</v>
      </c>
      <c r="L425" s="49">
        <f t="shared" si="68"/>
        <v>4394.6000000000004</v>
      </c>
      <c r="M425" s="62">
        <f t="shared" si="78"/>
        <v>0</v>
      </c>
      <c r="N425" s="49">
        <f t="shared" si="74"/>
        <v>4394.6000000000004</v>
      </c>
    </row>
    <row r="426" spans="1:14" x14ac:dyDescent="0.2">
      <c r="A426" s="50" t="str">
        <f ca="1">IF(ISERROR(MATCH(C426,Код_Раздел,0)),"",INDIRECT(ADDRESS(MATCH(C426,Код_Раздел,0)+1,2,,,"Раздел")))</f>
        <v>Физическая культура и спорт</v>
      </c>
      <c r="B426" s="79" t="s">
        <v>278</v>
      </c>
      <c r="C426" s="65" t="s">
        <v>81</v>
      </c>
      <c r="D426" s="46"/>
      <c r="E426" s="26"/>
      <c r="F426" s="62">
        <f t="shared" si="78"/>
        <v>4394.6000000000004</v>
      </c>
      <c r="G426" s="62">
        <f t="shared" si="78"/>
        <v>0</v>
      </c>
      <c r="H426" s="49">
        <f t="shared" si="73"/>
        <v>4394.6000000000004</v>
      </c>
      <c r="I426" s="62">
        <f t="shared" si="78"/>
        <v>0</v>
      </c>
      <c r="J426" s="49">
        <f t="shared" si="70"/>
        <v>4394.6000000000004</v>
      </c>
      <c r="K426" s="62">
        <f t="shared" si="78"/>
        <v>0</v>
      </c>
      <c r="L426" s="49">
        <f t="shared" si="68"/>
        <v>4394.6000000000004</v>
      </c>
      <c r="M426" s="62">
        <f t="shared" si="78"/>
        <v>0</v>
      </c>
      <c r="N426" s="49">
        <f t="shared" si="74"/>
        <v>4394.6000000000004</v>
      </c>
    </row>
    <row r="427" spans="1:14" x14ac:dyDescent="0.2">
      <c r="A427" s="45" t="s">
        <v>57</v>
      </c>
      <c r="B427" s="79" t="s">
        <v>278</v>
      </c>
      <c r="C427" s="65" t="s">
        <v>81</v>
      </c>
      <c r="D427" s="46" t="s">
        <v>78</v>
      </c>
      <c r="E427" s="26"/>
      <c r="F427" s="62">
        <f>F428+F430</f>
        <v>4394.6000000000004</v>
      </c>
      <c r="G427" s="62">
        <f>G428+G430</f>
        <v>0</v>
      </c>
      <c r="H427" s="49">
        <f t="shared" si="73"/>
        <v>4394.6000000000004</v>
      </c>
      <c r="I427" s="62">
        <f>I428+I430</f>
        <v>0</v>
      </c>
      <c r="J427" s="49">
        <f t="shared" si="70"/>
        <v>4394.6000000000004</v>
      </c>
      <c r="K427" s="62">
        <f>K428+K430</f>
        <v>0</v>
      </c>
      <c r="L427" s="49">
        <f t="shared" si="68"/>
        <v>4394.6000000000004</v>
      </c>
      <c r="M427" s="62">
        <f>M428+M430</f>
        <v>0</v>
      </c>
      <c r="N427" s="49">
        <f t="shared" si="74"/>
        <v>4394.6000000000004</v>
      </c>
    </row>
    <row r="428" spans="1:14" ht="49.5" x14ac:dyDescent="0.2">
      <c r="A428" s="50" t="str">
        <f ca="1">IF(ISERROR(MATCH(E428,Код_КВР,0)),"",INDIRECT(ADDRESS(MATCH(E428,Код_КВР,0)+1,2,,,"КВР")))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8" s="79" t="s">
        <v>278</v>
      </c>
      <c r="C428" s="65" t="s">
        <v>81</v>
      </c>
      <c r="D428" s="46" t="s">
        <v>78</v>
      </c>
      <c r="E428" s="26">
        <v>100</v>
      </c>
      <c r="F428" s="62">
        <f>F429</f>
        <v>4378.1000000000004</v>
      </c>
      <c r="G428" s="62">
        <f>G429</f>
        <v>0</v>
      </c>
      <c r="H428" s="49">
        <f t="shared" si="73"/>
        <v>4378.1000000000004</v>
      </c>
      <c r="I428" s="62">
        <f>I429</f>
        <v>0</v>
      </c>
      <c r="J428" s="49">
        <f t="shared" si="70"/>
        <v>4378.1000000000004</v>
      </c>
      <c r="K428" s="62">
        <f>K429</f>
        <v>0</v>
      </c>
      <c r="L428" s="49">
        <f t="shared" si="68"/>
        <v>4378.1000000000004</v>
      </c>
      <c r="M428" s="62">
        <f>M429</f>
        <v>0</v>
      </c>
      <c r="N428" s="49">
        <f t="shared" si="74"/>
        <v>4378.1000000000004</v>
      </c>
    </row>
    <row r="429" spans="1:14" x14ac:dyDescent="0.2">
      <c r="A429" s="50" t="str">
        <f ca="1">IF(ISERROR(MATCH(E429,Код_КВР,0)),"",INDIRECT(ADDRESS(MATCH(E429,Код_КВР,0)+1,2,,,"КВР")))</f>
        <v>Расходы на выплаты персоналу государственных (муниципальных) органов</v>
      </c>
      <c r="B429" s="79" t="s">
        <v>278</v>
      </c>
      <c r="C429" s="65" t="s">
        <v>81</v>
      </c>
      <c r="D429" s="46" t="s">
        <v>78</v>
      </c>
      <c r="E429" s="26">
        <v>120</v>
      </c>
      <c r="F429" s="62">
        <f>'прил. 8'!G1097</f>
        <v>4378.1000000000004</v>
      </c>
      <c r="G429" s="62">
        <f>'прил. 8'!H1097</f>
        <v>0</v>
      </c>
      <c r="H429" s="49">
        <f t="shared" si="73"/>
        <v>4378.1000000000004</v>
      </c>
      <c r="I429" s="62">
        <f>'прил. 8'!J1097</f>
        <v>0</v>
      </c>
      <c r="J429" s="49">
        <f t="shared" si="70"/>
        <v>4378.1000000000004</v>
      </c>
      <c r="K429" s="62">
        <f>'прил. 8'!L1097</f>
        <v>0</v>
      </c>
      <c r="L429" s="49">
        <f t="shared" si="68"/>
        <v>4378.1000000000004</v>
      </c>
      <c r="M429" s="62">
        <f>'прил. 8'!N1097</f>
        <v>0</v>
      </c>
      <c r="N429" s="49">
        <f t="shared" si="74"/>
        <v>4378.1000000000004</v>
      </c>
    </row>
    <row r="430" spans="1:14" ht="33" x14ac:dyDescent="0.2">
      <c r="A430" s="50" t="str">
        <f ca="1">IF(ISERROR(MATCH(E430,Код_КВР,0)),"",INDIRECT(ADDRESS(MATCH(E430,Код_КВР,0)+1,2,,,"КВР")))</f>
        <v>Закупка товаров, работ и услуг для обеспечения государственных (муниципальных) нужд</v>
      </c>
      <c r="B430" s="79" t="s">
        <v>278</v>
      </c>
      <c r="C430" s="65" t="s">
        <v>81</v>
      </c>
      <c r="D430" s="46" t="s">
        <v>78</v>
      </c>
      <c r="E430" s="26">
        <v>200</v>
      </c>
      <c r="F430" s="62">
        <f>F431</f>
        <v>16.5</v>
      </c>
      <c r="G430" s="62">
        <f>G431</f>
        <v>0</v>
      </c>
      <c r="H430" s="49">
        <f t="shared" si="73"/>
        <v>16.5</v>
      </c>
      <c r="I430" s="62">
        <f>I431</f>
        <v>0</v>
      </c>
      <c r="J430" s="49">
        <f t="shared" si="70"/>
        <v>16.5</v>
      </c>
      <c r="K430" s="62">
        <f>K431</f>
        <v>0</v>
      </c>
      <c r="L430" s="49">
        <f t="shared" si="68"/>
        <v>16.5</v>
      </c>
      <c r="M430" s="62">
        <f>M431</f>
        <v>0</v>
      </c>
      <c r="N430" s="49">
        <f t="shared" si="74"/>
        <v>16.5</v>
      </c>
    </row>
    <row r="431" spans="1:14" ht="33" x14ac:dyDescent="0.2">
      <c r="A431" s="50" t="str">
        <f ca="1">IF(ISERROR(MATCH(E431,Код_КВР,0)),"",INDIRECT(ADDRESS(MATCH(E431,Код_КВР,0)+1,2,,,"КВР")))</f>
        <v>Иные закупки товаров, работ и услуг для обеспечения государственных (муниципальных) нужд</v>
      </c>
      <c r="B431" s="79" t="s">
        <v>278</v>
      </c>
      <c r="C431" s="65" t="s">
        <v>81</v>
      </c>
      <c r="D431" s="46" t="s">
        <v>78</v>
      </c>
      <c r="E431" s="26">
        <v>240</v>
      </c>
      <c r="F431" s="62">
        <f>'прил. 8'!G1099</f>
        <v>16.5</v>
      </c>
      <c r="G431" s="62">
        <f>'прил. 8'!H1099</f>
        <v>0</v>
      </c>
      <c r="H431" s="49">
        <f t="shared" si="73"/>
        <v>16.5</v>
      </c>
      <c r="I431" s="62">
        <f>'прил. 8'!J1099</f>
        <v>0</v>
      </c>
      <c r="J431" s="49">
        <f t="shared" si="70"/>
        <v>16.5</v>
      </c>
      <c r="K431" s="62">
        <f>'прил. 8'!L1099</f>
        <v>0</v>
      </c>
      <c r="L431" s="49">
        <f t="shared" si="68"/>
        <v>16.5</v>
      </c>
      <c r="M431" s="62">
        <f>'прил. 8'!N1099</f>
        <v>0</v>
      </c>
      <c r="N431" s="49">
        <f t="shared" si="74"/>
        <v>16.5</v>
      </c>
    </row>
    <row r="432" spans="1:14" x14ac:dyDescent="0.2">
      <c r="A432" s="50" t="str">
        <f ca="1">IF(ISERROR(MATCH(B432,Код_КЦСР,0)),"",INDIRECT(ADDRESS(MATCH(B432,Код_КЦСР,0)+1,2,,,"КЦСР")))</f>
        <v>Развитие волейбола</v>
      </c>
      <c r="B432" s="79" t="s">
        <v>279</v>
      </c>
      <c r="C432" s="65"/>
      <c r="D432" s="46"/>
      <c r="E432" s="26"/>
      <c r="F432" s="62">
        <f t="shared" ref="F432:M435" si="79">F433</f>
        <v>30000</v>
      </c>
      <c r="G432" s="62">
        <f t="shared" si="79"/>
        <v>0</v>
      </c>
      <c r="H432" s="49">
        <f t="shared" si="73"/>
        <v>30000</v>
      </c>
      <c r="I432" s="62">
        <f t="shared" si="79"/>
        <v>0</v>
      </c>
      <c r="J432" s="49">
        <f t="shared" si="70"/>
        <v>30000</v>
      </c>
      <c r="K432" s="62">
        <f t="shared" si="79"/>
        <v>0</v>
      </c>
      <c r="L432" s="49">
        <f t="shared" si="68"/>
        <v>30000</v>
      </c>
      <c r="M432" s="62">
        <f t="shared" si="79"/>
        <v>0</v>
      </c>
      <c r="N432" s="49">
        <f t="shared" si="74"/>
        <v>30000</v>
      </c>
    </row>
    <row r="433" spans="1:14" x14ac:dyDescent="0.2">
      <c r="A433" s="50" t="str">
        <f ca="1">IF(ISERROR(MATCH(C433,Код_Раздел,0)),"",INDIRECT(ADDRESS(MATCH(C433,Код_Раздел,0)+1,2,,,"Раздел")))</f>
        <v>Физическая культура и спорт</v>
      </c>
      <c r="B433" s="79" t="s">
        <v>279</v>
      </c>
      <c r="C433" s="65" t="s">
        <v>81</v>
      </c>
      <c r="D433" s="46"/>
      <c r="E433" s="26"/>
      <c r="F433" s="62">
        <f t="shared" si="79"/>
        <v>30000</v>
      </c>
      <c r="G433" s="62">
        <f t="shared" si="79"/>
        <v>0</v>
      </c>
      <c r="H433" s="49">
        <f t="shared" si="73"/>
        <v>30000</v>
      </c>
      <c r="I433" s="62">
        <f t="shared" si="79"/>
        <v>0</v>
      </c>
      <c r="J433" s="49">
        <f t="shared" si="70"/>
        <v>30000</v>
      </c>
      <c r="K433" s="62">
        <f t="shared" si="79"/>
        <v>0</v>
      </c>
      <c r="L433" s="49">
        <f t="shared" si="68"/>
        <v>30000</v>
      </c>
      <c r="M433" s="62">
        <f t="shared" si="79"/>
        <v>0</v>
      </c>
      <c r="N433" s="49">
        <f t="shared" si="74"/>
        <v>30000</v>
      </c>
    </row>
    <row r="434" spans="1:14" x14ac:dyDescent="0.2">
      <c r="A434" s="45" t="s">
        <v>51</v>
      </c>
      <c r="B434" s="79" t="s">
        <v>279</v>
      </c>
      <c r="C434" s="65" t="s">
        <v>81</v>
      </c>
      <c r="D434" s="46" t="s">
        <v>70</v>
      </c>
      <c r="E434" s="26"/>
      <c r="F434" s="62">
        <f t="shared" si="79"/>
        <v>30000</v>
      </c>
      <c r="G434" s="62">
        <f t="shared" si="79"/>
        <v>0</v>
      </c>
      <c r="H434" s="49">
        <f t="shared" si="73"/>
        <v>30000</v>
      </c>
      <c r="I434" s="62">
        <f t="shared" si="79"/>
        <v>0</v>
      </c>
      <c r="J434" s="49">
        <f t="shared" si="70"/>
        <v>30000</v>
      </c>
      <c r="K434" s="62">
        <f t="shared" si="79"/>
        <v>0</v>
      </c>
      <c r="L434" s="49">
        <f t="shared" si="68"/>
        <v>30000</v>
      </c>
      <c r="M434" s="62">
        <f t="shared" si="79"/>
        <v>0</v>
      </c>
      <c r="N434" s="49">
        <f t="shared" si="74"/>
        <v>30000</v>
      </c>
    </row>
    <row r="435" spans="1:14" ht="33" x14ac:dyDescent="0.2">
      <c r="A435" s="50" t="str">
        <f ca="1">IF(ISERROR(MATCH(E435,Код_КВР,0)),"",INDIRECT(ADDRESS(MATCH(E435,Код_КВР,0)+1,2,,,"КВР")))</f>
        <v>Предоставление субсидий бюджетным, автономным учреждениям и иным некоммерческим организациям</v>
      </c>
      <c r="B435" s="79" t="s">
        <v>279</v>
      </c>
      <c r="C435" s="65" t="s">
        <v>81</v>
      </c>
      <c r="D435" s="46" t="s">
        <v>70</v>
      </c>
      <c r="E435" s="26">
        <v>600</v>
      </c>
      <c r="F435" s="62">
        <f t="shared" si="79"/>
        <v>30000</v>
      </c>
      <c r="G435" s="62">
        <f t="shared" si="79"/>
        <v>0</v>
      </c>
      <c r="H435" s="49">
        <f t="shared" si="73"/>
        <v>30000</v>
      </c>
      <c r="I435" s="62">
        <f t="shared" si="79"/>
        <v>0</v>
      </c>
      <c r="J435" s="49">
        <f t="shared" si="70"/>
        <v>30000</v>
      </c>
      <c r="K435" s="62">
        <f t="shared" si="79"/>
        <v>0</v>
      </c>
      <c r="L435" s="49">
        <f t="shared" ref="L435:L498" si="80">J435+K435</f>
        <v>30000</v>
      </c>
      <c r="M435" s="62">
        <f t="shared" si="79"/>
        <v>0</v>
      </c>
      <c r="N435" s="49">
        <f t="shared" si="74"/>
        <v>30000</v>
      </c>
    </row>
    <row r="436" spans="1:14" ht="33" x14ac:dyDescent="0.2">
      <c r="A436" s="50" t="str">
        <f ca="1">IF(ISERROR(MATCH(E436,Код_КВР,0)),"",INDIRECT(ADDRESS(MATCH(E436,Код_КВР,0)+1,2,,,"КВР")))</f>
        <v>Субсидии некоммерческим организациям (за исключением государственных (муниципальных) учреждений)</v>
      </c>
      <c r="B436" s="79" t="s">
        <v>279</v>
      </c>
      <c r="C436" s="65" t="s">
        <v>81</v>
      </c>
      <c r="D436" s="46" t="s">
        <v>70</v>
      </c>
      <c r="E436" s="26">
        <v>630</v>
      </c>
      <c r="F436" s="62">
        <f>'прил. 8'!G1078</f>
        <v>30000</v>
      </c>
      <c r="G436" s="62">
        <f>'прил. 8'!H1078</f>
        <v>0</v>
      </c>
      <c r="H436" s="49">
        <f t="shared" si="73"/>
        <v>30000</v>
      </c>
      <c r="I436" s="62">
        <f>'прил. 8'!J1078</f>
        <v>0</v>
      </c>
      <c r="J436" s="49">
        <f t="shared" si="70"/>
        <v>30000</v>
      </c>
      <c r="K436" s="62">
        <f>'прил. 8'!L1078</f>
        <v>0</v>
      </c>
      <c r="L436" s="49">
        <f t="shared" si="80"/>
        <v>30000</v>
      </c>
      <c r="M436" s="62">
        <f>'прил. 8'!N1078</f>
        <v>0</v>
      </c>
      <c r="N436" s="49">
        <f t="shared" si="74"/>
        <v>30000</v>
      </c>
    </row>
    <row r="437" spans="1:14" x14ac:dyDescent="0.2">
      <c r="A437" s="50" t="str">
        <f ca="1">IF(ISERROR(MATCH(B437,Код_КЦСР,0)),"",INDIRECT(ADDRESS(MATCH(B437,Код_КЦСР,0)+1,2,,,"КЦСР")))</f>
        <v>Муниципальная программа «Развитие архивного дела» на 2013 – 2020 годы</v>
      </c>
      <c r="B437" s="79" t="s">
        <v>281</v>
      </c>
      <c r="C437" s="65"/>
      <c r="D437" s="46"/>
      <c r="E437" s="26"/>
      <c r="F437" s="62">
        <f>F438</f>
        <v>15824.2</v>
      </c>
      <c r="G437" s="62">
        <f>G438</f>
        <v>0</v>
      </c>
      <c r="H437" s="49">
        <f t="shared" si="73"/>
        <v>15824.2</v>
      </c>
      <c r="I437" s="62">
        <f>I438</f>
        <v>0</v>
      </c>
      <c r="J437" s="49">
        <f t="shared" si="70"/>
        <v>15824.2</v>
      </c>
      <c r="K437" s="62">
        <f>K438</f>
        <v>0</v>
      </c>
      <c r="L437" s="49">
        <f t="shared" si="80"/>
        <v>15824.2</v>
      </c>
      <c r="M437" s="62">
        <f>M438</f>
        <v>0</v>
      </c>
      <c r="N437" s="49">
        <f t="shared" si="74"/>
        <v>15824.2</v>
      </c>
    </row>
    <row r="438" spans="1:14" ht="38.25" customHeight="1" x14ac:dyDescent="0.2">
      <c r="A438" s="50" t="str">
        <f ca="1">IF(ISERROR(MATCH(B438,Код_КЦСР,0)),"",INDIRECT(ADDRESS(MATCH(B438,Код_КЦСР,0)+1,2,,,"КЦСР")))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438" s="79" t="s">
        <v>282</v>
      </c>
      <c r="C438" s="65"/>
      <c r="D438" s="46"/>
      <c r="E438" s="26"/>
      <c r="F438" s="62">
        <f>F439+F452</f>
        <v>15824.2</v>
      </c>
      <c r="G438" s="62">
        <f>G439+G452</f>
        <v>0</v>
      </c>
      <c r="H438" s="49">
        <f t="shared" si="73"/>
        <v>15824.2</v>
      </c>
      <c r="I438" s="62">
        <f>I439+I452</f>
        <v>0</v>
      </c>
      <c r="J438" s="49">
        <f t="shared" si="70"/>
        <v>15824.2</v>
      </c>
      <c r="K438" s="62">
        <f>K439+K452</f>
        <v>0</v>
      </c>
      <c r="L438" s="49">
        <f t="shared" si="80"/>
        <v>15824.2</v>
      </c>
      <c r="M438" s="62">
        <f>M439+M452</f>
        <v>0</v>
      </c>
      <c r="N438" s="49">
        <f t="shared" si="74"/>
        <v>15824.2</v>
      </c>
    </row>
    <row r="439" spans="1:14" ht="49.5" x14ac:dyDescent="0.2">
      <c r="A439" s="50" t="str">
        <f ca="1">IF(ISERROR(MATCH(B439,Код_КЦСР,0)),"",INDIRECT(ADDRESS(MATCH(B439,Код_КЦСР,0)+1,2,,,"КЦСР")))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информации, за счет средств городского бюджета</v>
      </c>
      <c r="B439" s="79" t="s">
        <v>283</v>
      </c>
      <c r="C439" s="65"/>
      <c r="D439" s="46"/>
      <c r="E439" s="26"/>
      <c r="F439" s="62">
        <f>F440+F448</f>
        <v>13993.2</v>
      </c>
      <c r="G439" s="62">
        <f>G440+G448</f>
        <v>0</v>
      </c>
      <c r="H439" s="49">
        <f t="shared" si="73"/>
        <v>13993.2</v>
      </c>
      <c r="I439" s="62">
        <f>I440+I448</f>
        <v>0</v>
      </c>
      <c r="J439" s="49">
        <f t="shared" si="70"/>
        <v>13993.2</v>
      </c>
      <c r="K439" s="62">
        <f>K440+K448</f>
        <v>0</v>
      </c>
      <c r="L439" s="49">
        <f t="shared" si="80"/>
        <v>13993.2</v>
      </c>
      <c r="M439" s="62">
        <f>M440+M448</f>
        <v>0</v>
      </c>
      <c r="N439" s="49">
        <f t="shared" si="74"/>
        <v>13993.2</v>
      </c>
    </row>
    <row r="440" spans="1:14" x14ac:dyDescent="0.2">
      <c r="A440" s="50" t="str">
        <f ca="1">IF(ISERROR(MATCH(C440,Код_Раздел,0)),"",INDIRECT(ADDRESS(MATCH(C440,Код_Раздел,0)+1,2,,,"Раздел")))</f>
        <v>Общегосударственные вопросы</v>
      </c>
      <c r="B440" s="79" t="s">
        <v>283</v>
      </c>
      <c r="C440" s="65" t="s">
        <v>70</v>
      </c>
      <c r="D440" s="46"/>
      <c r="E440" s="26"/>
      <c r="F440" s="62">
        <f t="shared" ref="F440:M440" si="81">F441</f>
        <v>13963.2</v>
      </c>
      <c r="G440" s="62">
        <f t="shared" si="81"/>
        <v>0</v>
      </c>
      <c r="H440" s="49">
        <f t="shared" si="73"/>
        <v>13963.2</v>
      </c>
      <c r="I440" s="62">
        <f t="shared" si="81"/>
        <v>0</v>
      </c>
      <c r="J440" s="49">
        <f t="shared" si="70"/>
        <v>13963.2</v>
      </c>
      <c r="K440" s="62">
        <f t="shared" si="81"/>
        <v>0</v>
      </c>
      <c r="L440" s="49">
        <f t="shared" si="80"/>
        <v>13963.2</v>
      </c>
      <c r="M440" s="62">
        <f t="shared" si="81"/>
        <v>0</v>
      </c>
      <c r="N440" s="49">
        <f t="shared" si="74"/>
        <v>13963.2</v>
      </c>
    </row>
    <row r="441" spans="1:14" x14ac:dyDescent="0.2">
      <c r="A441" s="45" t="s">
        <v>91</v>
      </c>
      <c r="B441" s="79" t="s">
        <v>283</v>
      </c>
      <c r="C441" s="65" t="s">
        <v>70</v>
      </c>
      <c r="D441" s="46" t="s">
        <v>55</v>
      </c>
      <c r="E441" s="26"/>
      <c r="F441" s="62">
        <f>F442+F444+F446</f>
        <v>13963.2</v>
      </c>
      <c r="G441" s="62">
        <f>G442+G444+G446</f>
        <v>0</v>
      </c>
      <c r="H441" s="49">
        <f t="shared" si="73"/>
        <v>13963.2</v>
      </c>
      <c r="I441" s="62">
        <f>I442+I444+I446</f>
        <v>0</v>
      </c>
      <c r="J441" s="49">
        <f t="shared" ref="J441:J504" si="82">H441+I441</f>
        <v>13963.2</v>
      </c>
      <c r="K441" s="62">
        <f>K442+K444+K446</f>
        <v>0</v>
      </c>
      <c r="L441" s="49">
        <f t="shared" si="80"/>
        <v>13963.2</v>
      </c>
      <c r="M441" s="62">
        <f>M442+M444+M446</f>
        <v>0</v>
      </c>
      <c r="N441" s="49">
        <f t="shared" si="74"/>
        <v>13963.2</v>
      </c>
    </row>
    <row r="442" spans="1:14" ht="49.5" x14ac:dyDescent="0.2">
      <c r="A442" s="50" t="str">
        <f t="shared" ref="A442:A447" ca="1" si="83">IF(ISERROR(MATCH(E442,Код_КВР,0)),"",INDIRECT(ADDRESS(MATCH(E442,Код_КВР,0)+1,2,,,"КВР")))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2" s="79" t="s">
        <v>283</v>
      </c>
      <c r="C442" s="65" t="s">
        <v>70</v>
      </c>
      <c r="D442" s="46" t="s">
        <v>55</v>
      </c>
      <c r="E442" s="26">
        <v>100</v>
      </c>
      <c r="F442" s="62">
        <f>F443</f>
        <v>7646.7</v>
      </c>
      <c r="G442" s="62">
        <f>G443</f>
        <v>0</v>
      </c>
      <c r="H442" s="49">
        <f t="shared" si="73"/>
        <v>7646.7</v>
      </c>
      <c r="I442" s="62">
        <f>I443</f>
        <v>0</v>
      </c>
      <c r="J442" s="49">
        <f t="shared" si="82"/>
        <v>7646.7</v>
      </c>
      <c r="K442" s="62">
        <f>K443</f>
        <v>0</v>
      </c>
      <c r="L442" s="49">
        <f t="shared" si="80"/>
        <v>7646.7</v>
      </c>
      <c r="M442" s="62">
        <f>M443</f>
        <v>0</v>
      </c>
      <c r="N442" s="49">
        <f t="shared" si="74"/>
        <v>7646.7</v>
      </c>
    </row>
    <row r="443" spans="1:14" x14ac:dyDescent="0.2">
      <c r="A443" s="50" t="str">
        <f t="shared" ca="1" si="83"/>
        <v>Расходы на выплаты персоналу казенных учреждений</v>
      </c>
      <c r="B443" s="79" t="s">
        <v>283</v>
      </c>
      <c r="C443" s="65" t="s">
        <v>70</v>
      </c>
      <c r="D443" s="46" t="s">
        <v>55</v>
      </c>
      <c r="E443" s="26">
        <v>110</v>
      </c>
      <c r="F443" s="62">
        <f>'прил. 8'!G49</f>
        <v>7646.7</v>
      </c>
      <c r="G443" s="62">
        <f>'прил. 8'!H49</f>
        <v>0</v>
      </c>
      <c r="H443" s="49">
        <f t="shared" si="73"/>
        <v>7646.7</v>
      </c>
      <c r="I443" s="62">
        <f>'прил. 8'!J49</f>
        <v>0</v>
      </c>
      <c r="J443" s="49">
        <f t="shared" si="82"/>
        <v>7646.7</v>
      </c>
      <c r="K443" s="62">
        <f>'прил. 8'!L49</f>
        <v>0</v>
      </c>
      <c r="L443" s="49">
        <f t="shared" si="80"/>
        <v>7646.7</v>
      </c>
      <c r="M443" s="62">
        <f>'прил. 8'!N49</f>
        <v>0</v>
      </c>
      <c r="N443" s="49">
        <f t="shared" si="74"/>
        <v>7646.7</v>
      </c>
    </row>
    <row r="444" spans="1:14" ht="33" x14ac:dyDescent="0.2">
      <c r="A444" s="50" t="str">
        <f t="shared" ca="1" si="83"/>
        <v>Закупка товаров, работ и услуг для обеспечения государственных (муниципальных) нужд</v>
      </c>
      <c r="B444" s="79" t="s">
        <v>283</v>
      </c>
      <c r="C444" s="65" t="s">
        <v>70</v>
      </c>
      <c r="D444" s="46" t="s">
        <v>55</v>
      </c>
      <c r="E444" s="26">
        <v>200</v>
      </c>
      <c r="F444" s="62">
        <f>F445</f>
        <v>4072.9</v>
      </c>
      <c r="G444" s="62">
        <f>G445</f>
        <v>0</v>
      </c>
      <c r="H444" s="49">
        <f t="shared" si="73"/>
        <v>4072.9</v>
      </c>
      <c r="I444" s="62">
        <f>I445</f>
        <v>0</v>
      </c>
      <c r="J444" s="49">
        <f t="shared" si="82"/>
        <v>4072.9</v>
      </c>
      <c r="K444" s="62">
        <f>K445</f>
        <v>0</v>
      </c>
      <c r="L444" s="49">
        <f t="shared" si="80"/>
        <v>4072.9</v>
      </c>
      <c r="M444" s="62">
        <f>M445</f>
        <v>0</v>
      </c>
      <c r="N444" s="49">
        <f t="shared" si="74"/>
        <v>4072.9</v>
      </c>
    </row>
    <row r="445" spans="1:14" ht="33" x14ac:dyDescent="0.2">
      <c r="A445" s="50" t="str">
        <f t="shared" ca="1" si="83"/>
        <v>Иные закупки товаров, работ и услуг для обеспечения государственных (муниципальных) нужд</v>
      </c>
      <c r="B445" s="79" t="s">
        <v>283</v>
      </c>
      <c r="C445" s="65" t="s">
        <v>70</v>
      </c>
      <c r="D445" s="46" t="s">
        <v>55</v>
      </c>
      <c r="E445" s="26">
        <v>240</v>
      </c>
      <c r="F445" s="62">
        <f>'прил. 8'!G51</f>
        <v>4072.9</v>
      </c>
      <c r="G445" s="62">
        <f>'прил. 8'!H51</f>
        <v>0</v>
      </c>
      <c r="H445" s="49">
        <f t="shared" si="73"/>
        <v>4072.9</v>
      </c>
      <c r="I445" s="62">
        <f>'прил. 8'!J51</f>
        <v>0</v>
      </c>
      <c r="J445" s="49">
        <f t="shared" si="82"/>
        <v>4072.9</v>
      </c>
      <c r="K445" s="62">
        <f>'прил. 8'!L51</f>
        <v>0</v>
      </c>
      <c r="L445" s="49">
        <f t="shared" si="80"/>
        <v>4072.9</v>
      </c>
      <c r="M445" s="62">
        <f>'прил. 8'!N51</f>
        <v>0</v>
      </c>
      <c r="N445" s="49">
        <f t="shared" si="74"/>
        <v>4072.9</v>
      </c>
    </row>
    <row r="446" spans="1:14" x14ac:dyDescent="0.2">
      <c r="A446" s="50" t="str">
        <f t="shared" ca="1" si="83"/>
        <v>Иные бюджетные ассигнования</v>
      </c>
      <c r="B446" s="79" t="s">
        <v>283</v>
      </c>
      <c r="C446" s="65" t="s">
        <v>70</v>
      </c>
      <c r="D446" s="46" t="s">
        <v>55</v>
      </c>
      <c r="E446" s="26">
        <v>800</v>
      </c>
      <c r="F446" s="62">
        <f>F447</f>
        <v>2243.6</v>
      </c>
      <c r="G446" s="62">
        <f>G447</f>
        <v>0</v>
      </c>
      <c r="H446" s="49">
        <f t="shared" si="73"/>
        <v>2243.6</v>
      </c>
      <c r="I446" s="62">
        <f>I447</f>
        <v>0</v>
      </c>
      <c r="J446" s="49">
        <f t="shared" si="82"/>
        <v>2243.6</v>
      </c>
      <c r="K446" s="62">
        <f>K447</f>
        <v>0</v>
      </c>
      <c r="L446" s="49">
        <f t="shared" si="80"/>
        <v>2243.6</v>
      </c>
      <c r="M446" s="62">
        <f>M447</f>
        <v>0</v>
      </c>
      <c r="N446" s="49">
        <f t="shared" si="74"/>
        <v>2243.6</v>
      </c>
    </row>
    <row r="447" spans="1:14" x14ac:dyDescent="0.2">
      <c r="A447" s="50" t="str">
        <f t="shared" ca="1" si="83"/>
        <v>Уплата налогов, сборов и иных платежей</v>
      </c>
      <c r="B447" s="79" t="s">
        <v>283</v>
      </c>
      <c r="C447" s="65" t="s">
        <v>70</v>
      </c>
      <c r="D447" s="46" t="s">
        <v>55</v>
      </c>
      <c r="E447" s="26">
        <v>850</v>
      </c>
      <c r="F447" s="62">
        <f>'прил. 8'!G53</f>
        <v>2243.6</v>
      </c>
      <c r="G447" s="62">
        <f>'прил. 8'!H53</f>
        <v>0</v>
      </c>
      <c r="H447" s="49">
        <f t="shared" si="73"/>
        <v>2243.6</v>
      </c>
      <c r="I447" s="62">
        <f>'прил. 8'!J53</f>
        <v>0</v>
      </c>
      <c r="J447" s="49">
        <f t="shared" si="82"/>
        <v>2243.6</v>
      </c>
      <c r="K447" s="62">
        <f>'прил. 8'!L53</f>
        <v>0</v>
      </c>
      <c r="L447" s="49">
        <f t="shared" si="80"/>
        <v>2243.6</v>
      </c>
      <c r="M447" s="62">
        <f>'прил. 8'!N53</f>
        <v>0</v>
      </c>
      <c r="N447" s="49">
        <f t="shared" si="74"/>
        <v>2243.6</v>
      </c>
    </row>
    <row r="448" spans="1:14" x14ac:dyDescent="0.2">
      <c r="A448" s="50" t="str">
        <f ca="1">IF(ISERROR(MATCH(C448,Код_Раздел,0)),"",INDIRECT(ADDRESS(MATCH(C448,Код_Раздел,0)+1,2,,,"Раздел")))</f>
        <v>Образование</v>
      </c>
      <c r="B448" s="79" t="s">
        <v>283</v>
      </c>
      <c r="C448" s="65" t="s">
        <v>60</v>
      </c>
      <c r="D448" s="46"/>
      <c r="E448" s="26"/>
      <c r="F448" s="62">
        <f t="shared" ref="F448:M450" si="84">F449</f>
        <v>30</v>
      </c>
      <c r="G448" s="62">
        <f t="shared" si="84"/>
        <v>0</v>
      </c>
      <c r="H448" s="49">
        <f t="shared" si="73"/>
        <v>30</v>
      </c>
      <c r="I448" s="62">
        <f t="shared" si="84"/>
        <v>0</v>
      </c>
      <c r="J448" s="49">
        <f t="shared" si="82"/>
        <v>30</v>
      </c>
      <c r="K448" s="62">
        <f t="shared" si="84"/>
        <v>0</v>
      </c>
      <c r="L448" s="49">
        <f t="shared" si="80"/>
        <v>30</v>
      </c>
      <c r="M448" s="62">
        <f t="shared" si="84"/>
        <v>0</v>
      </c>
      <c r="N448" s="49">
        <f t="shared" si="74"/>
        <v>30</v>
      </c>
    </row>
    <row r="449" spans="1:14" x14ac:dyDescent="0.2">
      <c r="A449" s="45" t="s">
        <v>532</v>
      </c>
      <c r="B449" s="79" t="s">
        <v>283</v>
      </c>
      <c r="C449" s="65" t="s">
        <v>60</v>
      </c>
      <c r="D449" s="46" t="s">
        <v>78</v>
      </c>
      <c r="E449" s="26"/>
      <c r="F449" s="62">
        <f t="shared" si="84"/>
        <v>30</v>
      </c>
      <c r="G449" s="62">
        <f t="shared" si="84"/>
        <v>0</v>
      </c>
      <c r="H449" s="49">
        <f t="shared" si="73"/>
        <v>30</v>
      </c>
      <c r="I449" s="62">
        <f t="shared" si="84"/>
        <v>0</v>
      </c>
      <c r="J449" s="49">
        <f t="shared" si="82"/>
        <v>30</v>
      </c>
      <c r="K449" s="62">
        <f t="shared" si="84"/>
        <v>0</v>
      </c>
      <c r="L449" s="49">
        <f t="shared" si="80"/>
        <v>30</v>
      </c>
      <c r="M449" s="62">
        <f t="shared" si="84"/>
        <v>0</v>
      </c>
      <c r="N449" s="49">
        <f t="shared" si="74"/>
        <v>30</v>
      </c>
    </row>
    <row r="450" spans="1:14" ht="33" x14ac:dyDescent="0.2">
      <c r="A450" s="50" t="str">
        <f t="shared" ref="A450:A451" ca="1" si="85">IF(ISERROR(MATCH(E450,Код_КВР,0)),"",INDIRECT(ADDRESS(MATCH(E450,Код_КВР,0)+1,2,,,"КВР")))</f>
        <v>Закупка товаров, работ и услуг для обеспечения государственных (муниципальных) нужд</v>
      </c>
      <c r="B450" s="79" t="s">
        <v>283</v>
      </c>
      <c r="C450" s="65" t="s">
        <v>60</v>
      </c>
      <c r="D450" s="46" t="s">
        <v>78</v>
      </c>
      <c r="E450" s="26">
        <v>200</v>
      </c>
      <c r="F450" s="62">
        <f t="shared" si="84"/>
        <v>30</v>
      </c>
      <c r="G450" s="62">
        <f t="shared" si="84"/>
        <v>0</v>
      </c>
      <c r="H450" s="49">
        <f t="shared" si="73"/>
        <v>30</v>
      </c>
      <c r="I450" s="62">
        <f t="shared" si="84"/>
        <v>0</v>
      </c>
      <c r="J450" s="49">
        <f t="shared" si="82"/>
        <v>30</v>
      </c>
      <c r="K450" s="62">
        <f t="shared" si="84"/>
        <v>0</v>
      </c>
      <c r="L450" s="49">
        <f t="shared" si="80"/>
        <v>30</v>
      </c>
      <c r="M450" s="62">
        <f t="shared" si="84"/>
        <v>0</v>
      </c>
      <c r="N450" s="49">
        <f t="shared" si="74"/>
        <v>30</v>
      </c>
    </row>
    <row r="451" spans="1:14" ht="33" x14ac:dyDescent="0.2">
      <c r="A451" s="50" t="str">
        <f t="shared" ca="1" si="85"/>
        <v>Иные закупки товаров, работ и услуг для обеспечения государственных (муниципальных) нужд</v>
      </c>
      <c r="B451" s="79" t="s">
        <v>283</v>
      </c>
      <c r="C451" s="65" t="s">
        <v>60</v>
      </c>
      <c r="D451" s="46" t="s">
        <v>78</v>
      </c>
      <c r="E451" s="26">
        <v>240</v>
      </c>
      <c r="F451" s="62">
        <f>'прил. 8'!G287</f>
        <v>30</v>
      </c>
      <c r="G451" s="62">
        <f>'прил. 8'!H287</f>
        <v>0</v>
      </c>
      <c r="H451" s="49">
        <f t="shared" si="73"/>
        <v>30</v>
      </c>
      <c r="I451" s="62">
        <f>'прил. 8'!J287</f>
        <v>0</v>
      </c>
      <c r="J451" s="49">
        <f t="shared" si="82"/>
        <v>30</v>
      </c>
      <c r="K451" s="62">
        <f>'прил. 8'!L287</f>
        <v>0</v>
      </c>
      <c r="L451" s="49">
        <f t="shared" si="80"/>
        <v>30</v>
      </c>
      <c r="M451" s="62">
        <f>'прил. 8'!N287</f>
        <v>0</v>
      </c>
      <c r="N451" s="49">
        <f t="shared" si="74"/>
        <v>30</v>
      </c>
    </row>
    <row r="452" spans="1:14" ht="82.5" x14ac:dyDescent="0.2">
      <c r="A452" s="50" t="str">
        <f ca="1">IF(ISERROR(MATCH(B452,Код_КЦСР,0)),"",INDIRECT(ADDRESS(MATCH(B452,Код_КЦСР,0)+1,2,,,"КЦСР")))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дела», за счет средств областного бюджета</v>
      </c>
      <c r="B452" s="79" t="s">
        <v>284</v>
      </c>
      <c r="C452" s="65"/>
      <c r="D452" s="46"/>
      <c r="E452" s="26"/>
      <c r="F452" s="62">
        <f t="shared" ref="F452:M453" si="86">F453</f>
        <v>1831</v>
      </c>
      <c r="G452" s="62">
        <f t="shared" si="86"/>
        <v>0</v>
      </c>
      <c r="H452" s="49">
        <f t="shared" si="73"/>
        <v>1831</v>
      </c>
      <c r="I452" s="62">
        <f t="shared" si="86"/>
        <v>0</v>
      </c>
      <c r="J452" s="49">
        <f t="shared" si="82"/>
        <v>1831</v>
      </c>
      <c r="K452" s="62">
        <f t="shared" si="86"/>
        <v>0</v>
      </c>
      <c r="L452" s="49">
        <f t="shared" si="80"/>
        <v>1831</v>
      </c>
      <c r="M452" s="62">
        <f t="shared" si="86"/>
        <v>0</v>
      </c>
      <c r="N452" s="49">
        <f t="shared" si="74"/>
        <v>1831</v>
      </c>
    </row>
    <row r="453" spans="1:14" x14ac:dyDescent="0.2">
      <c r="A453" s="50" t="str">
        <f ca="1">IF(ISERROR(MATCH(C453,Код_Раздел,0)),"",INDIRECT(ADDRESS(MATCH(C453,Код_Раздел,0)+1,2,,,"Раздел")))</f>
        <v>Общегосударственные вопросы</v>
      </c>
      <c r="B453" s="79" t="s">
        <v>284</v>
      </c>
      <c r="C453" s="65" t="s">
        <v>70</v>
      </c>
      <c r="D453" s="46"/>
      <c r="E453" s="26"/>
      <c r="F453" s="62">
        <f t="shared" si="86"/>
        <v>1831</v>
      </c>
      <c r="G453" s="62">
        <f t="shared" si="86"/>
        <v>0</v>
      </c>
      <c r="H453" s="49">
        <f t="shared" si="73"/>
        <v>1831</v>
      </c>
      <c r="I453" s="62">
        <f t="shared" si="86"/>
        <v>0</v>
      </c>
      <c r="J453" s="49">
        <f t="shared" si="82"/>
        <v>1831</v>
      </c>
      <c r="K453" s="62">
        <f t="shared" si="86"/>
        <v>0</v>
      </c>
      <c r="L453" s="49">
        <f t="shared" si="80"/>
        <v>1831</v>
      </c>
      <c r="M453" s="62">
        <f t="shared" si="86"/>
        <v>0</v>
      </c>
      <c r="N453" s="49">
        <f t="shared" si="74"/>
        <v>1831</v>
      </c>
    </row>
    <row r="454" spans="1:14" x14ac:dyDescent="0.2">
      <c r="A454" s="45" t="s">
        <v>91</v>
      </c>
      <c r="B454" s="79" t="s">
        <v>284</v>
      </c>
      <c r="C454" s="65" t="s">
        <v>70</v>
      </c>
      <c r="D454" s="46" t="s">
        <v>55</v>
      </c>
      <c r="E454" s="26"/>
      <c r="F454" s="62">
        <f>F455+F457</f>
        <v>1831</v>
      </c>
      <c r="G454" s="62">
        <f>G455+G457</f>
        <v>0</v>
      </c>
      <c r="H454" s="49">
        <f t="shared" si="73"/>
        <v>1831</v>
      </c>
      <c r="I454" s="62">
        <f>I455+I457</f>
        <v>0</v>
      </c>
      <c r="J454" s="49">
        <f t="shared" si="82"/>
        <v>1831</v>
      </c>
      <c r="K454" s="62">
        <f>K455+K457</f>
        <v>0</v>
      </c>
      <c r="L454" s="49">
        <f t="shared" si="80"/>
        <v>1831</v>
      </c>
      <c r="M454" s="62">
        <f>M455+M457</f>
        <v>0</v>
      </c>
      <c r="N454" s="49">
        <f t="shared" si="74"/>
        <v>1831</v>
      </c>
    </row>
    <row r="455" spans="1:14" ht="49.5" x14ac:dyDescent="0.2">
      <c r="A455" s="50" t="str">
        <f ca="1">IF(ISERROR(MATCH(E455,Код_КВР,0)),"",INDIRECT(ADDRESS(MATCH(E455,Код_КВР,0)+1,2,,,"КВР")))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5" s="79" t="s">
        <v>284</v>
      </c>
      <c r="C455" s="65" t="s">
        <v>70</v>
      </c>
      <c r="D455" s="46" t="s">
        <v>55</v>
      </c>
      <c r="E455" s="26">
        <v>100</v>
      </c>
      <c r="F455" s="62">
        <f>F456</f>
        <v>631</v>
      </c>
      <c r="G455" s="62">
        <f>G456</f>
        <v>0</v>
      </c>
      <c r="H455" s="49">
        <f t="shared" si="73"/>
        <v>631</v>
      </c>
      <c r="I455" s="62">
        <f>I456</f>
        <v>0</v>
      </c>
      <c r="J455" s="49">
        <f t="shared" si="82"/>
        <v>631</v>
      </c>
      <c r="K455" s="62">
        <f>K456</f>
        <v>0</v>
      </c>
      <c r="L455" s="49">
        <f t="shared" si="80"/>
        <v>631</v>
      </c>
      <c r="M455" s="62">
        <f>M456</f>
        <v>0</v>
      </c>
      <c r="N455" s="49">
        <f t="shared" si="74"/>
        <v>631</v>
      </c>
    </row>
    <row r="456" spans="1:14" x14ac:dyDescent="0.2">
      <c r="A456" s="50" t="str">
        <f ca="1">IF(ISERROR(MATCH(E456,Код_КВР,0)),"",INDIRECT(ADDRESS(MATCH(E456,Код_КВР,0)+1,2,,,"КВР")))</f>
        <v>Расходы на выплаты персоналу казенных учреждений</v>
      </c>
      <c r="B456" s="79" t="s">
        <v>284</v>
      </c>
      <c r="C456" s="65" t="s">
        <v>70</v>
      </c>
      <c r="D456" s="46" t="s">
        <v>55</v>
      </c>
      <c r="E456" s="26">
        <v>110</v>
      </c>
      <c r="F456" s="62">
        <f>'прил. 8'!G56</f>
        <v>631</v>
      </c>
      <c r="G456" s="62">
        <f>'прил. 8'!H56</f>
        <v>0</v>
      </c>
      <c r="H456" s="49">
        <f t="shared" si="73"/>
        <v>631</v>
      </c>
      <c r="I456" s="62">
        <f>'прил. 8'!J56</f>
        <v>0</v>
      </c>
      <c r="J456" s="49">
        <f t="shared" si="82"/>
        <v>631</v>
      </c>
      <c r="K456" s="62">
        <f>'прил. 8'!L56</f>
        <v>0</v>
      </c>
      <c r="L456" s="49">
        <f t="shared" si="80"/>
        <v>631</v>
      </c>
      <c r="M456" s="62">
        <f>'прил. 8'!N56</f>
        <v>0</v>
      </c>
      <c r="N456" s="49">
        <f t="shared" si="74"/>
        <v>631</v>
      </c>
    </row>
    <row r="457" spans="1:14" ht="33" x14ac:dyDescent="0.2">
      <c r="A457" s="50" t="str">
        <f ca="1">IF(ISERROR(MATCH(E457,Код_КВР,0)),"",INDIRECT(ADDRESS(MATCH(E457,Код_КВР,0)+1,2,,,"КВР")))</f>
        <v>Закупка товаров, работ и услуг для обеспечения государственных (муниципальных) нужд</v>
      </c>
      <c r="B457" s="79" t="s">
        <v>284</v>
      </c>
      <c r="C457" s="65" t="s">
        <v>70</v>
      </c>
      <c r="D457" s="46" t="s">
        <v>55</v>
      </c>
      <c r="E457" s="26">
        <v>200</v>
      </c>
      <c r="F457" s="62">
        <f>F458</f>
        <v>1200</v>
      </c>
      <c r="G457" s="62">
        <f>G458</f>
        <v>0</v>
      </c>
      <c r="H457" s="49">
        <f t="shared" si="73"/>
        <v>1200</v>
      </c>
      <c r="I457" s="62">
        <f>I458</f>
        <v>0</v>
      </c>
      <c r="J457" s="49">
        <f t="shared" si="82"/>
        <v>1200</v>
      </c>
      <c r="K457" s="62">
        <f>K458</f>
        <v>0</v>
      </c>
      <c r="L457" s="49">
        <f t="shared" si="80"/>
        <v>1200</v>
      </c>
      <c r="M457" s="62">
        <f>M458</f>
        <v>0</v>
      </c>
      <c r="N457" s="49">
        <f t="shared" si="74"/>
        <v>1200</v>
      </c>
    </row>
    <row r="458" spans="1:14" ht="33" x14ac:dyDescent="0.2">
      <c r="A458" s="50" t="str">
        <f ca="1">IF(ISERROR(MATCH(E458,Код_КВР,0)),"",INDIRECT(ADDRESS(MATCH(E458,Код_КВР,0)+1,2,,,"КВР")))</f>
        <v>Иные закупки товаров, работ и услуг для обеспечения государственных (муниципальных) нужд</v>
      </c>
      <c r="B458" s="79" t="s">
        <v>284</v>
      </c>
      <c r="C458" s="65" t="s">
        <v>70</v>
      </c>
      <c r="D458" s="46" t="s">
        <v>55</v>
      </c>
      <c r="E458" s="26">
        <v>240</v>
      </c>
      <c r="F458" s="62">
        <f>'прил. 8'!G58</f>
        <v>1200</v>
      </c>
      <c r="G458" s="62">
        <f>'прил. 8'!H58</f>
        <v>0</v>
      </c>
      <c r="H458" s="49">
        <f t="shared" si="73"/>
        <v>1200</v>
      </c>
      <c r="I458" s="62">
        <f>'прил. 8'!J58</f>
        <v>0</v>
      </c>
      <c r="J458" s="49">
        <f t="shared" si="82"/>
        <v>1200</v>
      </c>
      <c r="K458" s="62">
        <f>'прил. 8'!L58</f>
        <v>0</v>
      </c>
      <c r="L458" s="49">
        <f t="shared" si="80"/>
        <v>1200</v>
      </c>
      <c r="M458" s="62">
        <f>'прил. 8'!N58</f>
        <v>0</v>
      </c>
      <c r="N458" s="49">
        <f t="shared" si="74"/>
        <v>1200</v>
      </c>
    </row>
    <row r="459" spans="1:14" ht="33" x14ac:dyDescent="0.2">
      <c r="A459" s="50" t="str">
        <f ca="1">IF(ISERROR(MATCH(B459,Код_КЦСР,0)),"",INDIRECT(ADDRESS(MATCH(B459,Код_КЦСР,0)+1,2,,,"КЦСР")))</f>
        <v>Муниципальная программа «Охрана окружающей среды» на 2013 – 2022 годы</v>
      </c>
      <c r="B459" s="79" t="s">
        <v>285</v>
      </c>
      <c r="C459" s="65"/>
      <c r="D459" s="46"/>
      <c r="E459" s="26"/>
      <c r="F459" s="62">
        <f>F460+F471+F476</f>
        <v>6624</v>
      </c>
      <c r="G459" s="62">
        <f>G460+G471+G476</f>
        <v>0</v>
      </c>
      <c r="H459" s="49">
        <f t="shared" si="73"/>
        <v>6624</v>
      </c>
      <c r="I459" s="62">
        <f>I460+I471+I476</f>
        <v>0</v>
      </c>
      <c r="J459" s="49">
        <f t="shared" si="82"/>
        <v>6624</v>
      </c>
      <c r="K459" s="62">
        <f>K460+K471+K476</f>
        <v>0</v>
      </c>
      <c r="L459" s="49">
        <f t="shared" si="80"/>
        <v>6624</v>
      </c>
      <c r="M459" s="62">
        <f>M460+M471+M476</f>
        <v>0</v>
      </c>
      <c r="N459" s="49">
        <f t="shared" si="74"/>
        <v>6624</v>
      </c>
    </row>
    <row r="460" spans="1:14" ht="33" x14ac:dyDescent="0.2">
      <c r="A460" s="50" t="str">
        <f ca="1">IF(ISERROR(MATCH(B460,Код_КЦСР,0)),"",INDIRECT(ADDRESS(MATCH(B460,Код_КЦСР,0)+1,2,,,"КЦСР")))</f>
        <v>Организация мероприятий по экологическому образованию и воспитанию населения</v>
      </c>
      <c r="B460" s="79" t="s">
        <v>287</v>
      </c>
      <c r="C460" s="65"/>
      <c r="D460" s="46"/>
      <c r="E460" s="26"/>
      <c r="F460" s="62">
        <f>F461</f>
        <v>275.8</v>
      </c>
      <c r="G460" s="62">
        <f>G461</f>
        <v>0</v>
      </c>
      <c r="H460" s="49">
        <f t="shared" si="73"/>
        <v>275.8</v>
      </c>
      <c r="I460" s="62">
        <f>I461</f>
        <v>0</v>
      </c>
      <c r="J460" s="49">
        <f t="shared" si="82"/>
        <v>275.8</v>
      </c>
      <c r="K460" s="62">
        <f>K461</f>
        <v>0</v>
      </c>
      <c r="L460" s="49">
        <f t="shared" si="80"/>
        <v>275.8</v>
      </c>
      <c r="M460" s="62">
        <f>M461</f>
        <v>0</v>
      </c>
      <c r="N460" s="49">
        <f t="shared" si="74"/>
        <v>275.8</v>
      </c>
    </row>
    <row r="461" spans="1:14" x14ac:dyDescent="0.2">
      <c r="A461" s="50" t="str">
        <f ca="1">IF(ISERROR(MATCH(C461,Код_Раздел,0)),"",INDIRECT(ADDRESS(MATCH(C461,Код_Раздел,0)+1,2,,,"Раздел")))</f>
        <v>Образование</v>
      </c>
      <c r="B461" s="79" t="s">
        <v>287</v>
      </c>
      <c r="C461" s="65" t="s">
        <v>60</v>
      </c>
      <c r="D461" s="46"/>
      <c r="E461" s="26"/>
      <c r="F461" s="62">
        <f>F462+F465+F468</f>
        <v>275.8</v>
      </c>
      <c r="G461" s="62">
        <f>G462+G465+G468</f>
        <v>0</v>
      </c>
      <c r="H461" s="49">
        <f t="shared" si="73"/>
        <v>275.8</v>
      </c>
      <c r="I461" s="62">
        <f>I462+I465+I468</f>
        <v>0</v>
      </c>
      <c r="J461" s="49">
        <f t="shared" si="82"/>
        <v>275.8</v>
      </c>
      <c r="K461" s="62">
        <f>K462+K465+K468</f>
        <v>0</v>
      </c>
      <c r="L461" s="49">
        <f t="shared" si="80"/>
        <v>275.8</v>
      </c>
      <c r="M461" s="62">
        <f>M462+M465+M468</f>
        <v>0</v>
      </c>
      <c r="N461" s="49">
        <f t="shared" si="74"/>
        <v>275.8</v>
      </c>
    </row>
    <row r="462" spans="1:14" x14ac:dyDescent="0.2">
      <c r="A462" s="45" t="s">
        <v>109</v>
      </c>
      <c r="B462" s="79" t="s">
        <v>287</v>
      </c>
      <c r="C462" s="65" t="s">
        <v>60</v>
      </c>
      <c r="D462" s="46" t="s">
        <v>70</v>
      </c>
      <c r="E462" s="26"/>
      <c r="F462" s="62">
        <f t="shared" ref="F462:M463" si="87">F463</f>
        <v>12.9</v>
      </c>
      <c r="G462" s="62">
        <f t="shared" si="87"/>
        <v>0</v>
      </c>
      <c r="H462" s="49">
        <f t="shared" si="73"/>
        <v>12.9</v>
      </c>
      <c r="I462" s="62">
        <f t="shared" si="87"/>
        <v>0</v>
      </c>
      <c r="J462" s="49">
        <f t="shared" si="82"/>
        <v>12.9</v>
      </c>
      <c r="K462" s="62">
        <f t="shared" si="87"/>
        <v>0</v>
      </c>
      <c r="L462" s="49">
        <f t="shared" si="80"/>
        <v>12.9</v>
      </c>
      <c r="M462" s="62">
        <f t="shared" si="87"/>
        <v>0</v>
      </c>
      <c r="N462" s="49">
        <f t="shared" si="74"/>
        <v>12.9</v>
      </c>
    </row>
    <row r="463" spans="1:14" ht="33" x14ac:dyDescent="0.2">
      <c r="A463" s="50" t="str">
        <f ca="1">IF(ISERROR(MATCH(E463,Код_КВР,0)),"",INDIRECT(ADDRESS(MATCH(E463,Код_КВР,0)+1,2,,,"КВР")))</f>
        <v>Предоставление субсидий бюджетным, автономным учреждениям и иным некоммерческим организациям</v>
      </c>
      <c r="B463" s="79" t="s">
        <v>287</v>
      </c>
      <c r="C463" s="65" t="s">
        <v>60</v>
      </c>
      <c r="D463" s="46" t="s">
        <v>70</v>
      </c>
      <c r="E463" s="26">
        <v>600</v>
      </c>
      <c r="F463" s="62">
        <f t="shared" si="87"/>
        <v>12.9</v>
      </c>
      <c r="G463" s="62">
        <f t="shared" si="87"/>
        <v>0</v>
      </c>
      <c r="H463" s="49">
        <f t="shared" si="73"/>
        <v>12.9</v>
      </c>
      <c r="I463" s="62">
        <f t="shared" si="87"/>
        <v>0</v>
      </c>
      <c r="J463" s="49">
        <f t="shared" si="82"/>
        <v>12.9</v>
      </c>
      <c r="K463" s="62">
        <f t="shared" si="87"/>
        <v>0</v>
      </c>
      <c r="L463" s="49">
        <f t="shared" si="80"/>
        <v>12.9</v>
      </c>
      <c r="M463" s="62">
        <f t="shared" si="87"/>
        <v>0</v>
      </c>
      <c r="N463" s="49">
        <f t="shared" si="74"/>
        <v>12.9</v>
      </c>
    </row>
    <row r="464" spans="1:14" x14ac:dyDescent="0.2">
      <c r="A464" s="50" t="str">
        <f ca="1">IF(ISERROR(MATCH(E464,Код_КВР,0)),"",INDIRECT(ADDRESS(MATCH(E464,Код_КВР,0)+1,2,,,"КВР")))</f>
        <v>Субсидии бюджетным учреждениям</v>
      </c>
      <c r="B464" s="79" t="s">
        <v>287</v>
      </c>
      <c r="C464" s="65" t="s">
        <v>60</v>
      </c>
      <c r="D464" s="46" t="s">
        <v>70</v>
      </c>
      <c r="E464" s="26">
        <v>610</v>
      </c>
      <c r="F464" s="62">
        <f>'прил. 8'!G692</f>
        <v>12.9</v>
      </c>
      <c r="G464" s="62">
        <f>'прил. 8'!H692</f>
        <v>0</v>
      </c>
      <c r="H464" s="49">
        <f t="shared" ref="H464:H532" si="88">F464+G464</f>
        <v>12.9</v>
      </c>
      <c r="I464" s="62">
        <f>'прил. 8'!J692</f>
        <v>0</v>
      </c>
      <c r="J464" s="49">
        <f t="shared" si="82"/>
        <v>12.9</v>
      </c>
      <c r="K464" s="62">
        <f>'прил. 8'!L692</f>
        <v>0</v>
      </c>
      <c r="L464" s="49">
        <f t="shared" si="80"/>
        <v>12.9</v>
      </c>
      <c r="M464" s="62">
        <f>'прил. 8'!N692</f>
        <v>0</v>
      </c>
      <c r="N464" s="49">
        <f t="shared" si="74"/>
        <v>12.9</v>
      </c>
    </row>
    <row r="465" spans="1:14" x14ac:dyDescent="0.2">
      <c r="A465" s="45" t="s">
        <v>102</v>
      </c>
      <c r="B465" s="79" t="s">
        <v>287</v>
      </c>
      <c r="C465" s="65" t="s">
        <v>60</v>
      </c>
      <c r="D465" s="46" t="s">
        <v>71</v>
      </c>
      <c r="E465" s="26"/>
      <c r="F465" s="62">
        <f>F466</f>
        <v>152.9</v>
      </c>
      <c r="G465" s="62">
        <f>G466</f>
        <v>0</v>
      </c>
      <c r="H465" s="49">
        <f t="shared" si="88"/>
        <v>152.9</v>
      </c>
      <c r="I465" s="62">
        <f>I466</f>
        <v>0</v>
      </c>
      <c r="J465" s="49">
        <f t="shared" si="82"/>
        <v>152.9</v>
      </c>
      <c r="K465" s="62">
        <f>K466</f>
        <v>0</v>
      </c>
      <c r="L465" s="49">
        <f t="shared" si="80"/>
        <v>152.9</v>
      </c>
      <c r="M465" s="62">
        <f>M466</f>
        <v>0</v>
      </c>
      <c r="N465" s="49">
        <f t="shared" si="74"/>
        <v>152.9</v>
      </c>
    </row>
    <row r="466" spans="1:14" ht="33" x14ac:dyDescent="0.2">
      <c r="A466" s="50" t="str">
        <f ca="1">IF(ISERROR(MATCH(E466,Код_КВР,0)),"",INDIRECT(ADDRESS(MATCH(E466,Код_КВР,0)+1,2,,,"КВР")))</f>
        <v>Предоставление субсидий бюджетным, автономным учреждениям и иным некоммерческим организациям</v>
      </c>
      <c r="B466" s="79" t="s">
        <v>287</v>
      </c>
      <c r="C466" s="65" t="s">
        <v>60</v>
      </c>
      <c r="D466" s="46" t="s">
        <v>71</v>
      </c>
      <c r="E466" s="26">
        <v>600</v>
      </c>
      <c r="F466" s="62">
        <f>F467</f>
        <v>152.9</v>
      </c>
      <c r="G466" s="62">
        <f>G467</f>
        <v>0</v>
      </c>
      <c r="H466" s="49">
        <f t="shared" si="88"/>
        <v>152.9</v>
      </c>
      <c r="I466" s="62">
        <f>I467</f>
        <v>0</v>
      </c>
      <c r="J466" s="49">
        <f t="shared" si="82"/>
        <v>152.9</v>
      </c>
      <c r="K466" s="62">
        <f>K467</f>
        <v>0</v>
      </c>
      <c r="L466" s="49">
        <f t="shared" si="80"/>
        <v>152.9</v>
      </c>
      <c r="M466" s="62">
        <f>M467</f>
        <v>0</v>
      </c>
      <c r="N466" s="49">
        <f t="shared" ref="N466:N529" si="89">L466+M466</f>
        <v>152.9</v>
      </c>
    </row>
    <row r="467" spans="1:14" x14ac:dyDescent="0.2">
      <c r="A467" s="50" t="str">
        <f ca="1">IF(ISERROR(MATCH(E467,Код_КВР,0)),"",INDIRECT(ADDRESS(MATCH(E467,Код_КВР,0)+1,2,,,"КВР")))</f>
        <v>Субсидии бюджетным учреждениям</v>
      </c>
      <c r="B467" s="79" t="s">
        <v>287</v>
      </c>
      <c r="C467" s="65" t="s">
        <v>60</v>
      </c>
      <c r="D467" s="46" t="s">
        <v>71</v>
      </c>
      <c r="E467" s="26">
        <v>610</v>
      </c>
      <c r="F467" s="62">
        <f>'прил. 8'!G773</f>
        <v>152.9</v>
      </c>
      <c r="G467" s="62">
        <f>'прил. 8'!H773</f>
        <v>0</v>
      </c>
      <c r="H467" s="49">
        <f t="shared" si="88"/>
        <v>152.9</v>
      </c>
      <c r="I467" s="62">
        <f>'прил. 8'!J773</f>
        <v>0</v>
      </c>
      <c r="J467" s="49">
        <f t="shared" si="82"/>
        <v>152.9</v>
      </c>
      <c r="K467" s="62">
        <f>'прил. 8'!L773</f>
        <v>0</v>
      </c>
      <c r="L467" s="49">
        <f t="shared" si="80"/>
        <v>152.9</v>
      </c>
      <c r="M467" s="62">
        <f>'прил. 8'!N773</f>
        <v>0</v>
      </c>
      <c r="N467" s="49">
        <f t="shared" si="89"/>
        <v>152.9</v>
      </c>
    </row>
    <row r="468" spans="1:14" x14ac:dyDescent="0.2">
      <c r="A468" s="45" t="s">
        <v>465</v>
      </c>
      <c r="B468" s="79" t="s">
        <v>287</v>
      </c>
      <c r="C468" s="65" t="s">
        <v>60</v>
      </c>
      <c r="D468" s="46" t="s">
        <v>72</v>
      </c>
      <c r="E468" s="26"/>
      <c r="F468" s="62">
        <f>F469</f>
        <v>110</v>
      </c>
      <c r="G468" s="62">
        <f>G469</f>
        <v>0</v>
      </c>
      <c r="H468" s="49">
        <f t="shared" si="88"/>
        <v>110</v>
      </c>
      <c r="I468" s="62">
        <f>I469</f>
        <v>0</v>
      </c>
      <c r="J468" s="49">
        <f t="shared" si="82"/>
        <v>110</v>
      </c>
      <c r="K468" s="62">
        <f>K469</f>
        <v>0</v>
      </c>
      <c r="L468" s="49">
        <f t="shared" si="80"/>
        <v>110</v>
      </c>
      <c r="M468" s="62">
        <f>M469</f>
        <v>0</v>
      </c>
      <c r="N468" s="49">
        <f t="shared" si="89"/>
        <v>110</v>
      </c>
    </row>
    <row r="469" spans="1:14" ht="33" x14ac:dyDescent="0.2">
      <c r="A469" s="50" t="str">
        <f ca="1">IF(ISERROR(MATCH(E469,Код_КВР,0)),"",INDIRECT(ADDRESS(MATCH(E469,Код_КВР,0)+1,2,,,"КВР")))</f>
        <v>Предоставление субсидий бюджетным, автономным учреждениям и иным некоммерческим организациям</v>
      </c>
      <c r="B469" s="79" t="s">
        <v>287</v>
      </c>
      <c r="C469" s="65" t="s">
        <v>60</v>
      </c>
      <c r="D469" s="46" t="s">
        <v>72</v>
      </c>
      <c r="E469" s="26">
        <v>600</v>
      </c>
      <c r="F469" s="62">
        <f>F470</f>
        <v>110</v>
      </c>
      <c r="G469" s="62">
        <f>G470</f>
        <v>0</v>
      </c>
      <c r="H469" s="49">
        <f t="shared" si="88"/>
        <v>110</v>
      </c>
      <c r="I469" s="62">
        <f>I470</f>
        <v>0</v>
      </c>
      <c r="J469" s="49">
        <f t="shared" si="82"/>
        <v>110</v>
      </c>
      <c r="K469" s="62">
        <f>K470</f>
        <v>0</v>
      </c>
      <c r="L469" s="49">
        <f t="shared" si="80"/>
        <v>110</v>
      </c>
      <c r="M469" s="62">
        <f>M470</f>
        <v>0</v>
      </c>
      <c r="N469" s="49">
        <f t="shared" si="89"/>
        <v>110</v>
      </c>
    </row>
    <row r="470" spans="1:14" x14ac:dyDescent="0.2">
      <c r="A470" s="50" t="str">
        <f ca="1">IF(ISERROR(MATCH(E470,Код_КВР,0)),"",INDIRECT(ADDRESS(MATCH(E470,Код_КВР,0)+1,2,,,"КВР")))</f>
        <v>Субсидии бюджетным учреждениям</v>
      </c>
      <c r="B470" s="79" t="s">
        <v>287</v>
      </c>
      <c r="C470" s="65" t="s">
        <v>60</v>
      </c>
      <c r="D470" s="46" t="s">
        <v>72</v>
      </c>
      <c r="E470" s="26">
        <v>610</v>
      </c>
      <c r="F470" s="62">
        <f>'прил. 8'!G820</f>
        <v>110</v>
      </c>
      <c r="G470" s="62">
        <f>'прил. 8'!H820</f>
        <v>0</v>
      </c>
      <c r="H470" s="49">
        <f t="shared" si="88"/>
        <v>110</v>
      </c>
      <c r="I470" s="62">
        <f>'прил. 8'!J820</f>
        <v>0</v>
      </c>
      <c r="J470" s="49">
        <f t="shared" si="82"/>
        <v>110</v>
      </c>
      <c r="K470" s="62">
        <f>'прил. 8'!L820</f>
        <v>0</v>
      </c>
      <c r="L470" s="49">
        <f t="shared" si="80"/>
        <v>110</v>
      </c>
      <c r="M470" s="62">
        <f>'прил. 8'!N820</f>
        <v>0</v>
      </c>
      <c r="N470" s="49">
        <f t="shared" si="89"/>
        <v>110</v>
      </c>
    </row>
    <row r="471" spans="1:14" ht="172.5" customHeight="1" x14ac:dyDescent="0.2">
      <c r="A471" s="50" t="str">
        <f ca="1">IF(ISERROR(MATCH(B471,Код_КЦСР,0)),"",INDIRECT(ADDRESS(MATCH(B471,Код_КЦСР,0)+1,2,,,"КЦСР")))</f>
        <v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домах)</v>
      </c>
      <c r="B471" s="79" t="s">
        <v>288</v>
      </c>
      <c r="C471" s="65"/>
      <c r="D471" s="46"/>
      <c r="E471" s="26"/>
      <c r="F471" s="62">
        <f t="shared" ref="F471:M474" si="90">F472</f>
        <v>35.700000000000003</v>
      </c>
      <c r="G471" s="62">
        <f t="shared" si="90"/>
        <v>0</v>
      </c>
      <c r="H471" s="49">
        <f t="shared" si="88"/>
        <v>35.700000000000003</v>
      </c>
      <c r="I471" s="62">
        <f t="shared" si="90"/>
        <v>0</v>
      </c>
      <c r="J471" s="49">
        <f t="shared" si="82"/>
        <v>35.700000000000003</v>
      </c>
      <c r="K471" s="62">
        <f t="shared" si="90"/>
        <v>0</v>
      </c>
      <c r="L471" s="49">
        <f t="shared" si="80"/>
        <v>35.700000000000003</v>
      </c>
      <c r="M471" s="62">
        <f t="shared" si="90"/>
        <v>0</v>
      </c>
      <c r="N471" s="49">
        <f t="shared" si="89"/>
        <v>35.700000000000003</v>
      </c>
    </row>
    <row r="472" spans="1:14" x14ac:dyDescent="0.2">
      <c r="A472" s="50" t="str">
        <f ca="1">IF(ISERROR(MATCH(C472,Код_Раздел,0)),"",INDIRECT(ADDRESS(MATCH(C472,Код_Раздел,0)+1,2,,,"Раздел")))</f>
        <v>Охрана окружающей среды</v>
      </c>
      <c r="B472" s="79" t="s">
        <v>288</v>
      </c>
      <c r="C472" s="65" t="s">
        <v>74</v>
      </c>
      <c r="D472" s="46"/>
      <c r="E472" s="26"/>
      <c r="F472" s="62">
        <f t="shared" si="90"/>
        <v>35.700000000000003</v>
      </c>
      <c r="G472" s="62">
        <f t="shared" si="90"/>
        <v>0</v>
      </c>
      <c r="H472" s="49">
        <f t="shared" si="88"/>
        <v>35.700000000000003</v>
      </c>
      <c r="I472" s="62">
        <f t="shared" si="90"/>
        <v>0</v>
      </c>
      <c r="J472" s="49">
        <f t="shared" si="82"/>
        <v>35.700000000000003</v>
      </c>
      <c r="K472" s="62">
        <f t="shared" si="90"/>
        <v>0</v>
      </c>
      <c r="L472" s="49">
        <f t="shared" si="80"/>
        <v>35.700000000000003</v>
      </c>
      <c r="M472" s="62">
        <f t="shared" si="90"/>
        <v>0</v>
      </c>
      <c r="N472" s="49">
        <f t="shared" si="89"/>
        <v>35.700000000000003</v>
      </c>
    </row>
    <row r="473" spans="1:14" x14ac:dyDescent="0.2">
      <c r="A473" s="45" t="s">
        <v>106</v>
      </c>
      <c r="B473" s="79" t="s">
        <v>288</v>
      </c>
      <c r="C473" s="65" t="s">
        <v>74</v>
      </c>
      <c r="D473" s="46" t="s">
        <v>78</v>
      </c>
      <c r="E473" s="26"/>
      <c r="F473" s="62">
        <f t="shared" si="90"/>
        <v>35.700000000000003</v>
      </c>
      <c r="G473" s="62">
        <f t="shared" si="90"/>
        <v>0</v>
      </c>
      <c r="H473" s="49">
        <f t="shared" si="88"/>
        <v>35.700000000000003</v>
      </c>
      <c r="I473" s="62">
        <f t="shared" si="90"/>
        <v>0</v>
      </c>
      <c r="J473" s="49">
        <f t="shared" si="82"/>
        <v>35.700000000000003</v>
      </c>
      <c r="K473" s="62">
        <f t="shared" si="90"/>
        <v>0</v>
      </c>
      <c r="L473" s="49">
        <f t="shared" si="80"/>
        <v>35.700000000000003</v>
      </c>
      <c r="M473" s="62">
        <f t="shared" si="90"/>
        <v>0</v>
      </c>
      <c r="N473" s="49">
        <f t="shared" si="89"/>
        <v>35.700000000000003</v>
      </c>
    </row>
    <row r="474" spans="1:14" x14ac:dyDescent="0.2">
      <c r="A474" s="50" t="str">
        <f ca="1">IF(ISERROR(MATCH(E474,Код_КВР,0)),"",INDIRECT(ADDRESS(MATCH(E474,Код_КВР,0)+1,2,,,"КВР")))</f>
        <v>Иные бюджетные ассигнования</v>
      </c>
      <c r="B474" s="79" t="s">
        <v>288</v>
      </c>
      <c r="C474" s="65" t="s">
        <v>74</v>
      </c>
      <c r="D474" s="46" t="s">
        <v>78</v>
      </c>
      <c r="E474" s="26">
        <v>800</v>
      </c>
      <c r="F474" s="62">
        <f t="shared" si="90"/>
        <v>35.700000000000003</v>
      </c>
      <c r="G474" s="62">
        <f t="shared" si="90"/>
        <v>0</v>
      </c>
      <c r="H474" s="49">
        <f t="shared" si="88"/>
        <v>35.700000000000003</v>
      </c>
      <c r="I474" s="62">
        <f t="shared" si="90"/>
        <v>0</v>
      </c>
      <c r="J474" s="49">
        <f t="shared" si="82"/>
        <v>35.700000000000003</v>
      </c>
      <c r="K474" s="62">
        <f t="shared" si="90"/>
        <v>0</v>
      </c>
      <c r="L474" s="49">
        <f t="shared" si="80"/>
        <v>35.700000000000003</v>
      </c>
      <c r="M474" s="62">
        <f t="shared" si="90"/>
        <v>0</v>
      </c>
      <c r="N474" s="49">
        <f t="shared" si="89"/>
        <v>35.700000000000003</v>
      </c>
    </row>
    <row r="475" spans="1:14" ht="59.25" customHeight="1" x14ac:dyDescent="0.2">
      <c r="A475" s="50" t="str">
        <f ca="1">IF(ISERROR(MATCH(E475,Код_КВР,0)),"",INDIRECT(ADDRESS(MATCH(E475,Код_КВР,0)+1,2,,,"КВР")))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475" s="79" t="s">
        <v>288</v>
      </c>
      <c r="C475" s="65" t="s">
        <v>74</v>
      </c>
      <c r="D475" s="46" t="s">
        <v>78</v>
      </c>
      <c r="E475" s="26">
        <v>810</v>
      </c>
      <c r="F475" s="62">
        <f>'прил. 8'!G601</f>
        <v>35.700000000000003</v>
      </c>
      <c r="G475" s="62">
        <f>'прил. 8'!H601</f>
        <v>0</v>
      </c>
      <c r="H475" s="49">
        <f t="shared" si="88"/>
        <v>35.700000000000003</v>
      </c>
      <c r="I475" s="62">
        <f>'прил. 8'!J601</f>
        <v>0</v>
      </c>
      <c r="J475" s="49">
        <f t="shared" si="82"/>
        <v>35.700000000000003</v>
      </c>
      <c r="K475" s="62">
        <f>'прил. 8'!L601</f>
        <v>0</v>
      </c>
      <c r="L475" s="49">
        <f t="shared" si="80"/>
        <v>35.700000000000003</v>
      </c>
      <c r="M475" s="62">
        <f>'прил. 8'!N601</f>
        <v>0</v>
      </c>
      <c r="N475" s="49">
        <f t="shared" si="89"/>
        <v>35.700000000000003</v>
      </c>
    </row>
    <row r="476" spans="1:14" ht="53.25" customHeight="1" x14ac:dyDescent="0.2">
      <c r="A476" s="50" t="str">
        <f ca="1">IF(ISERROR(MATCH(B476,Код_КЦСР,0)),"",INDIRECT(ADDRESS(MATCH(B476,Код_КЦСР,0)+1,2,,,"КЦСР")))</f>
        <v>Организация работ по реализации целей, задач комитета охраны окружающей среды мэрии, выполнение его функциональных обязанностей и реализации муниципальной программы</v>
      </c>
      <c r="B476" s="79" t="s">
        <v>642</v>
      </c>
      <c r="C476" s="65"/>
      <c r="D476" s="46"/>
      <c r="E476" s="26"/>
      <c r="F476" s="62">
        <f>F477+F484</f>
        <v>6312.5</v>
      </c>
      <c r="G476" s="62">
        <f>G477+G484</f>
        <v>0</v>
      </c>
      <c r="H476" s="49">
        <f t="shared" si="88"/>
        <v>6312.5</v>
      </c>
      <c r="I476" s="62">
        <f>I477+I484</f>
        <v>0</v>
      </c>
      <c r="J476" s="49">
        <f t="shared" si="82"/>
        <v>6312.5</v>
      </c>
      <c r="K476" s="62">
        <f>K477+K484</f>
        <v>0</v>
      </c>
      <c r="L476" s="49">
        <f t="shared" si="80"/>
        <v>6312.5</v>
      </c>
      <c r="M476" s="62">
        <f>M477+M484</f>
        <v>0</v>
      </c>
      <c r="N476" s="49">
        <f t="shared" si="89"/>
        <v>6312.5</v>
      </c>
    </row>
    <row r="477" spans="1:14" x14ac:dyDescent="0.2">
      <c r="A477" s="50" t="str">
        <f ca="1">IF(ISERROR(MATCH(B477,Код_КЦСР,0)),"",INDIRECT(ADDRESS(MATCH(B477,Код_КЦСР,0)+1,2,,,"КЦСР")))</f>
        <v>Расходы на обеспечение функций органов местного самоуправления</v>
      </c>
      <c r="B477" s="79" t="s">
        <v>643</v>
      </c>
      <c r="C477" s="65"/>
      <c r="D477" s="46"/>
      <c r="E477" s="26"/>
      <c r="F477" s="62">
        <f>F478</f>
        <v>4610.7</v>
      </c>
      <c r="G477" s="62">
        <f>G478</f>
        <v>0</v>
      </c>
      <c r="H477" s="49">
        <f t="shared" si="88"/>
        <v>4610.7</v>
      </c>
      <c r="I477" s="62">
        <f>I478</f>
        <v>0</v>
      </c>
      <c r="J477" s="49">
        <f t="shared" si="82"/>
        <v>4610.7</v>
      </c>
      <c r="K477" s="62">
        <f>K478</f>
        <v>0</v>
      </c>
      <c r="L477" s="49">
        <f t="shared" si="80"/>
        <v>4610.7</v>
      </c>
      <c r="M477" s="62">
        <f>M478</f>
        <v>0</v>
      </c>
      <c r="N477" s="49">
        <f t="shared" si="89"/>
        <v>4610.7</v>
      </c>
    </row>
    <row r="478" spans="1:14" x14ac:dyDescent="0.2">
      <c r="A478" s="50" t="str">
        <f ca="1">IF(ISERROR(MATCH(C478,Код_Раздел,0)),"",INDIRECT(ADDRESS(MATCH(C478,Код_Раздел,0)+1,2,,,"Раздел")))</f>
        <v>Охрана окружающей среды</v>
      </c>
      <c r="B478" s="79" t="s">
        <v>643</v>
      </c>
      <c r="C478" s="65" t="s">
        <v>74</v>
      </c>
      <c r="D478" s="46"/>
      <c r="E478" s="26"/>
      <c r="F478" s="62">
        <f t="shared" ref="F478:M478" si="91">F479</f>
        <v>4610.7</v>
      </c>
      <c r="G478" s="62">
        <f t="shared" si="91"/>
        <v>0</v>
      </c>
      <c r="H478" s="49">
        <f t="shared" si="88"/>
        <v>4610.7</v>
      </c>
      <c r="I478" s="62">
        <f t="shared" si="91"/>
        <v>0</v>
      </c>
      <c r="J478" s="49">
        <f t="shared" si="82"/>
        <v>4610.7</v>
      </c>
      <c r="K478" s="62">
        <f t="shared" si="91"/>
        <v>0</v>
      </c>
      <c r="L478" s="49">
        <f t="shared" si="80"/>
        <v>4610.7</v>
      </c>
      <c r="M478" s="62">
        <f t="shared" si="91"/>
        <v>0</v>
      </c>
      <c r="N478" s="49">
        <f t="shared" si="89"/>
        <v>4610.7</v>
      </c>
    </row>
    <row r="479" spans="1:14" x14ac:dyDescent="0.2">
      <c r="A479" s="45" t="s">
        <v>106</v>
      </c>
      <c r="B479" s="79" t="s">
        <v>643</v>
      </c>
      <c r="C479" s="65" t="s">
        <v>74</v>
      </c>
      <c r="D479" s="46" t="s">
        <v>78</v>
      </c>
      <c r="E479" s="26"/>
      <c r="F479" s="62">
        <f>F480+F482</f>
        <v>4610.7</v>
      </c>
      <c r="G479" s="62">
        <f>G480+G482</f>
        <v>0</v>
      </c>
      <c r="H479" s="49">
        <f t="shared" si="88"/>
        <v>4610.7</v>
      </c>
      <c r="I479" s="62">
        <f>I480+I482</f>
        <v>0</v>
      </c>
      <c r="J479" s="49">
        <f t="shared" si="82"/>
        <v>4610.7</v>
      </c>
      <c r="K479" s="62">
        <f>K480+K482</f>
        <v>0</v>
      </c>
      <c r="L479" s="49">
        <f t="shared" si="80"/>
        <v>4610.7</v>
      </c>
      <c r="M479" s="62">
        <f>M480+M482</f>
        <v>0</v>
      </c>
      <c r="N479" s="49">
        <f t="shared" si="89"/>
        <v>4610.7</v>
      </c>
    </row>
    <row r="480" spans="1:14" ht="49.5" x14ac:dyDescent="0.2">
      <c r="A480" s="50" t="str">
        <f t="shared" ref="A480:A483" ca="1" si="92">IF(ISERROR(MATCH(E480,Код_КВР,0)),"",INDIRECT(ADDRESS(MATCH(E480,Код_КВР,0)+1,2,,,"КВР")))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0" s="79" t="s">
        <v>643</v>
      </c>
      <c r="C480" s="65" t="s">
        <v>74</v>
      </c>
      <c r="D480" s="46" t="s">
        <v>78</v>
      </c>
      <c r="E480" s="26">
        <v>100</v>
      </c>
      <c r="F480" s="62">
        <f>F481</f>
        <v>4595.7</v>
      </c>
      <c r="G480" s="62">
        <f>G481</f>
        <v>0</v>
      </c>
      <c r="H480" s="49">
        <f t="shared" si="88"/>
        <v>4595.7</v>
      </c>
      <c r="I480" s="62">
        <f>I481</f>
        <v>0</v>
      </c>
      <c r="J480" s="49">
        <f t="shared" si="82"/>
        <v>4595.7</v>
      </c>
      <c r="K480" s="62">
        <f>K481</f>
        <v>0</v>
      </c>
      <c r="L480" s="49">
        <f t="shared" si="80"/>
        <v>4595.7</v>
      </c>
      <c r="M480" s="62">
        <f>M481</f>
        <v>0</v>
      </c>
      <c r="N480" s="49">
        <f t="shared" si="89"/>
        <v>4595.7</v>
      </c>
    </row>
    <row r="481" spans="1:14" x14ac:dyDescent="0.2">
      <c r="A481" s="50" t="str">
        <f t="shared" ca="1" si="92"/>
        <v>Расходы на выплаты персоналу государственных (муниципальных) органов</v>
      </c>
      <c r="B481" s="79" t="s">
        <v>643</v>
      </c>
      <c r="C481" s="65" t="s">
        <v>74</v>
      </c>
      <c r="D481" s="46" t="s">
        <v>78</v>
      </c>
      <c r="E481" s="26">
        <v>120</v>
      </c>
      <c r="F481" s="62">
        <f>'прил. 8'!G273</f>
        <v>4595.7</v>
      </c>
      <c r="G481" s="62">
        <f>'прил. 8'!H273</f>
        <v>0</v>
      </c>
      <c r="H481" s="49">
        <f t="shared" si="88"/>
        <v>4595.7</v>
      </c>
      <c r="I481" s="62">
        <f>'прил. 8'!J273</f>
        <v>0</v>
      </c>
      <c r="J481" s="49">
        <f t="shared" si="82"/>
        <v>4595.7</v>
      </c>
      <c r="K481" s="62">
        <f>'прил. 8'!L273</f>
        <v>0</v>
      </c>
      <c r="L481" s="49">
        <f t="shared" si="80"/>
        <v>4595.7</v>
      </c>
      <c r="M481" s="62">
        <f>'прил. 8'!N273</f>
        <v>0</v>
      </c>
      <c r="N481" s="49">
        <f t="shared" si="89"/>
        <v>4595.7</v>
      </c>
    </row>
    <row r="482" spans="1:14" ht="33" x14ac:dyDescent="0.2">
      <c r="A482" s="50" t="str">
        <f t="shared" ca="1" si="92"/>
        <v>Закупка товаров, работ и услуг для обеспечения государственных (муниципальных) нужд</v>
      </c>
      <c r="B482" s="79" t="s">
        <v>643</v>
      </c>
      <c r="C482" s="65" t="s">
        <v>74</v>
      </c>
      <c r="D482" s="46" t="s">
        <v>78</v>
      </c>
      <c r="E482" s="26">
        <v>200</v>
      </c>
      <c r="F482" s="62">
        <f>F483</f>
        <v>15</v>
      </c>
      <c r="G482" s="62">
        <f>G483</f>
        <v>0</v>
      </c>
      <c r="H482" s="49">
        <f t="shared" si="88"/>
        <v>15</v>
      </c>
      <c r="I482" s="62">
        <f>I483</f>
        <v>0</v>
      </c>
      <c r="J482" s="49">
        <f t="shared" si="82"/>
        <v>15</v>
      </c>
      <c r="K482" s="62">
        <f>K483</f>
        <v>0</v>
      </c>
      <c r="L482" s="49">
        <f t="shared" si="80"/>
        <v>15</v>
      </c>
      <c r="M482" s="62">
        <f>M483</f>
        <v>0</v>
      </c>
      <c r="N482" s="49">
        <f t="shared" si="89"/>
        <v>15</v>
      </c>
    </row>
    <row r="483" spans="1:14" ht="33" x14ac:dyDescent="0.2">
      <c r="A483" s="50" t="str">
        <f t="shared" ca="1" si="92"/>
        <v>Иные закупки товаров, работ и услуг для обеспечения государственных (муниципальных) нужд</v>
      </c>
      <c r="B483" s="79" t="s">
        <v>643</v>
      </c>
      <c r="C483" s="65" t="s">
        <v>74</v>
      </c>
      <c r="D483" s="46" t="s">
        <v>78</v>
      </c>
      <c r="E483" s="26">
        <v>240</v>
      </c>
      <c r="F483" s="62">
        <f>'прил. 8'!G275</f>
        <v>15</v>
      </c>
      <c r="G483" s="62">
        <f>'прил. 8'!H275</f>
        <v>0</v>
      </c>
      <c r="H483" s="49">
        <f t="shared" si="88"/>
        <v>15</v>
      </c>
      <c r="I483" s="62">
        <f>'прил. 8'!J275</f>
        <v>0</v>
      </c>
      <c r="J483" s="49">
        <f t="shared" si="82"/>
        <v>15</v>
      </c>
      <c r="K483" s="62">
        <f>'прил. 8'!L275</f>
        <v>0</v>
      </c>
      <c r="L483" s="49">
        <f t="shared" si="80"/>
        <v>15</v>
      </c>
      <c r="M483" s="62">
        <f>'прил. 8'!N275</f>
        <v>0</v>
      </c>
      <c r="N483" s="49">
        <f t="shared" si="89"/>
        <v>15</v>
      </c>
    </row>
    <row r="484" spans="1:14" ht="76.5" customHeight="1" x14ac:dyDescent="0.2">
      <c r="A484" s="50" t="str">
        <f ca="1">IF(ISERROR(MATCH(B484,Код_КЦСР,0)),"",INDIRECT(ADDRESS(MATCH(B484,Код_КЦСР,0)+1,2,,,"КЦСР")))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среды», за счет средств областного бюджета</v>
      </c>
      <c r="B484" s="79" t="s">
        <v>644</v>
      </c>
      <c r="C484" s="65"/>
      <c r="D484" s="46"/>
      <c r="E484" s="26"/>
      <c r="F484" s="62">
        <f t="shared" ref="F484:M485" si="93">F485</f>
        <v>1701.8000000000002</v>
      </c>
      <c r="G484" s="62">
        <f t="shared" si="93"/>
        <v>0</v>
      </c>
      <c r="H484" s="49">
        <f t="shared" si="88"/>
        <v>1701.8000000000002</v>
      </c>
      <c r="I484" s="62">
        <f t="shared" si="93"/>
        <v>0</v>
      </c>
      <c r="J484" s="49">
        <f t="shared" si="82"/>
        <v>1701.8000000000002</v>
      </c>
      <c r="K484" s="62">
        <f t="shared" si="93"/>
        <v>0</v>
      </c>
      <c r="L484" s="49">
        <f t="shared" si="80"/>
        <v>1701.8000000000002</v>
      </c>
      <c r="M484" s="62">
        <f t="shared" si="93"/>
        <v>0</v>
      </c>
      <c r="N484" s="49">
        <f t="shared" si="89"/>
        <v>1701.8000000000002</v>
      </c>
    </row>
    <row r="485" spans="1:14" x14ac:dyDescent="0.2">
      <c r="A485" s="50" t="str">
        <f ca="1">IF(ISERROR(MATCH(C485,Код_Раздел,0)),"",INDIRECT(ADDRESS(MATCH(C485,Код_Раздел,0)+1,2,,,"Раздел")))</f>
        <v>Охрана окружающей среды</v>
      </c>
      <c r="B485" s="79" t="s">
        <v>644</v>
      </c>
      <c r="C485" s="65" t="s">
        <v>74</v>
      </c>
      <c r="D485" s="46"/>
      <c r="E485" s="26"/>
      <c r="F485" s="62">
        <f t="shared" si="93"/>
        <v>1701.8000000000002</v>
      </c>
      <c r="G485" s="62">
        <f t="shared" si="93"/>
        <v>0</v>
      </c>
      <c r="H485" s="49">
        <f t="shared" si="88"/>
        <v>1701.8000000000002</v>
      </c>
      <c r="I485" s="62">
        <f t="shared" si="93"/>
        <v>0</v>
      </c>
      <c r="J485" s="49">
        <f t="shared" si="82"/>
        <v>1701.8000000000002</v>
      </c>
      <c r="K485" s="62">
        <f t="shared" si="93"/>
        <v>0</v>
      </c>
      <c r="L485" s="49">
        <f t="shared" si="80"/>
        <v>1701.8000000000002</v>
      </c>
      <c r="M485" s="62">
        <f t="shared" si="93"/>
        <v>0</v>
      </c>
      <c r="N485" s="49">
        <f t="shared" si="89"/>
        <v>1701.8000000000002</v>
      </c>
    </row>
    <row r="486" spans="1:14" ht="26.25" customHeight="1" x14ac:dyDescent="0.2">
      <c r="A486" s="45" t="s">
        <v>106</v>
      </c>
      <c r="B486" s="79" t="s">
        <v>644</v>
      </c>
      <c r="C486" s="65" t="s">
        <v>74</v>
      </c>
      <c r="D486" s="46" t="s">
        <v>78</v>
      </c>
      <c r="E486" s="26"/>
      <c r="F486" s="62">
        <f>F487+F489</f>
        <v>1701.8000000000002</v>
      </c>
      <c r="G486" s="62">
        <f>G487+G489</f>
        <v>0</v>
      </c>
      <c r="H486" s="49">
        <f t="shared" si="88"/>
        <v>1701.8000000000002</v>
      </c>
      <c r="I486" s="62">
        <f>I487+I489</f>
        <v>0</v>
      </c>
      <c r="J486" s="49">
        <f t="shared" si="82"/>
        <v>1701.8000000000002</v>
      </c>
      <c r="K486" s="62">
        <f>K487+K489</f>
        <v>0</v>
      </c>
      <c r="L486" s="49">
        <f t="shared" si="80"/>
        <v>1701.8000000000002</v>
      </c>
      <c r="M486" s="62">
        <f>M487+M489</f>
        <v>0</v>
      </c>
      <c r="N486" s="49">
        <f t="shared" si="89"/>
        <v>1701.8000000000002</v>
      </c>
    </row>
    <row r="487" spans="1:14" ht="56.25" customHeight="1" x14ac:dyDescent="0.2">
      <c r="A487" s="50" t="str">
        <f ca="1">IF(ISERROR(MATCH(E487,Код_КВР,0)),"",INDIRECT(ADDRESS(MATCH(E487,Код_КВР,0)+1,2,,,"КВР")))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7" s="79" t="s">
        <v>644</v>
      </c>
      <c r="C487" s="65" t="s">
        <v>74</v>
      </c>
      <c r="D487" s="46" t="s">
        <v>78</v>
      </c>
      <c r="E487" s="26">
        <v>100</v>
      </c>
      <c r="F487" s="62">
        <f>F488</f>
        <v>1651.8000000000002</v>
      </c>
      <c r="G487" s="62">
        <f>G488</f>
        <v>0</v>
      </c>
      <c r="H487" s="49">
        <f t="shared" si="88"/>
        <v>1651.8000000000002</v>
      </c>
      <c r="I487" s="62">
        <f>I488</f>
        <v>0</v>
      </c>
      <c r="J487" s="49">
        <f t="shared" si="82"/>
        <v>1651.8000000000002</v>
      </c>
      <c r="K487" s="62">
        <f>K488</f>
        <v>0</v>
      </c>
      <c r="L487" s="49">
        <f t="shared" si="80"/>
        <v>1651.8000000000002</v>
      </c>
      <c r="M487" s="62">
        <f>M488</f>
        <v>0</v>
      </c>
      <c r="N487" s="49">
        <f t="shared" si="89"/>
        <v>1651.8000000000002</v>
      </c>
    </row>
    <row r="488" spans="1:14" ht="26.25" customHeight="1" x14ac:dyDescent="0.2">
      <c r="A488" s="50" t="str">
        <f ca="1">IF(ISERROR(MATCH(E488,Код_КВР,0)),"",INDIRECT(ADDRESS(MATCH(E488,Код_КВР,0)+1,2,,,"КВР")))</f>
        <v>Расходы на выплаты персоналу государственных (муниципальных) органов</v>
      </c>
      <c r="B488" s="79" t="s">
        <v>644</v>
      </c>
      <c r="C488" s="65" t="s">
        <v>74</v>
      </c>
      <c r="D488" s="46" t="s">
        <v>78</v>
      </c>
      <c r="E488" s="26">
        <v>120</v>
      </c>
      <c r="F488" s="62">
        <f>'прил. 8'!G278</f>
        <v>1651.8000000000002</v>
      </c>
      <c r="G488" s="62">
        <f>'прил. 8'!H278</f>
        <v>0</v>
      </c>
      <c r="H488" s="49">
        <f t="shared" si="88"/>
        <v>1651.8000000000002</v>
      </c>
      <c r="I488" s="62">
        <f>'прил. 8'!J278</f>
        <v>0</v>
      </c>
      <c r="J488" s="49">
        <f t="shared" si="82"/>
        <v>1651.8000000000002</v>
      </c>
      <c r="K488" s="62">
        <f>'прил. 8'!L278</f>
        <v>0</v>
      </c>
      <c r="L488" s="49">
        <f t="shared" si="80"/>
        <v>1651.8000000000002</v>
      </c>
      <c r="M488" s="62">
        <f>'прил. 8'!N278</f>
        <v>0</v>
      </c>
      <c r="N488" s="49">
        <f t="shared" si="89"/>
        <v>1651.8000000000002</v>
      </c>
    </row>
    <row r="489" spans="1:14" ht="33" x14ac:dyDescent="0.2">
      <c r="A489" s="50" t="str">
        <f ca="1">IF(ISERROR(MATCH(E489,Код_КВР,0)),"",INDIRECT(ADDRESS(MATCH(E489,Код_КВР,0)+1,2,,,"КВР")))</f>
        <v>Закупка товаров, работ и услуг для обеспечения государственных (муниципальных) нужд</v>
      </c>
      <c r="B489" s="79" t="s">
        <v>644</v>
      </c>
      <c r="C489" s="65" t="s">
        <v>74</v>
      </c>
      <c r="D489" s="46" t="s">
        <v>78</v>
      </c>
      <c r="E489" s="26">
        <v>200</v>
      </c>
      <c r="F489" s="62">
        <f>F490</f>
        <v>50</v>
      </c>
      <c r="G489" s="62">
        <f>G490</f>
        <v>0</v>
      </c>
      <c r="H489" s="49">
        <f t="shared" si="88"/>
        <v>50</v>
      </c>
      <c r="I489" s="62">
        <f>I490</f>
        <v>0</v>
      </c>
      <c r="J489" s="49">
        <f t="shared" si="82"/>
        <v>50</v>
      </c>
      <c r="K489" s="62">
        <f>K490</f>
        <v>0</v>
      </c>
      <c r="L489" s="49">
        <f t="shared" si="80"/>
        <v>50</v>
      </c>
      <c r="M489" s="62">
        <f>M490</f>
        <v>0</v>
      </c>
      <c r="N489" s="49">
        <f t="shared" si="89"/>
        <v>50</v>
      </c>
    </row>
    <row r="490" spans="1:14" ht="40.5" customHeight="1" x14ac:dyDescent="0.2">
      <c r="A490" s="50" t="str">
        <f ca="1">IF(ISERROR(MATCH(E490,Код_КВР,0)),"",INDIRECT(ADDRESS(MATCH(E490,Код_КВР,0)+1,2,,,"КВР")))</f>
        <v>Иные закупки товаров, работ и услуг для обеспечения государственных (муниципальных) нужд</v>
      </c>
      <c r="B490" s="79" t="s">
        <v>644</v>
      </c>
      <c r="C490" s="65" t="s">
        <v>74</v>
      </c>
      <c r="D490" s="46" t="s">
        <v>78</v>
      </c>
      <c r="E490" s="26">
        <v>240</v>
      </c>
      <c r="F490" s="62">
        <f>'прил. 8'!G280</f>
        <v>50</v>
      </c>
      <c r="G490" s="62">
        <f>'прил. 8'!H280</f>
        <v>0</v>
      </c>
      <c r="H490" s="49">
        <f t="shared" si="88"/>
        <v>50</v>
      </c>
      <c r="I490" s="62">
        <f>'прил. 8'!J280</f>
        <v>0</v>
      </c>
      <c r="J490" s="49">
        <f t="shared" si="82"/>
        <v>50</v>
      </c>
      <c r="K490" s="62">
        <f>'прил. 8'!L280</f>
        <v>0</v>
      </c>
      <c r="L490" s="49">
        <f t="shared" si="80"/>
        <v>50</v>
      </c>
      <c r="M490" s="62">
        <f>'прил. 8'!N280</f>
        <v>0</v>
      </c>
      <c r="N490" s="49">
        <f t="shared" si="89"/>
        <v>50</v>
      </c>
    </row>
    <row r="491" spans="1:14" ht="33" x14ac:dyDescent="0.2">
      <c r="A491" s="50" t="str">
        <f ca="1">IF(ISERROR(MATCH(B491,Код_КЦСР,0)),"",INDIRECT(ADDRESS(MATCH(B491,Код_КЦСР,0)+1,2,,,"КЦСР")))</f>
        <v>Муниципальная программа «Содействие развитию потребительского рынка в городе Череповце на 2013 – 2020 годы»</v>
      </c>
      <c r="B491" s="79" t="s">
        <v>289</v>
      </c>
      <c r="C491" s="65"/>
      <c r="D491" s="46"/>
      <c r="E491" s="26"/>
      <c r="F491" s="62">
        <f>F492</f>
        <v>135</v>
      </c>
      <c r="G491" s="62">
        <f>G492</f>
        <v>0</v>
      </c>
      <c r="H491" s="49">
        <f t="shared" si="88"/>
        <v>135</v>
      </c>
      <c r="I491" s="62">
        <f>I492</f>
        <v>0</v>
      </c>
      <c r="J491" s="49">
        <f t="shared" si="82"/>
        <v>135</v>
      </c>
      <c r="K491" s="62">
        <f>K492</f>
        <v>0</v>
      </c>
      <c r="L491" s="49">
        <f t="shared" si="80"/>
        <v>135</v>
      </c>
      <c r="M491" s="62">
        <f>M492</f>
        <v>0</v>
      </c>
      <c r="N491" s="49">
        <f t="shared" si="89"/>
        <v>135</v>
      </c>
    </row>
    <row r="492" spans="1:14" ht="49.5" x14ac:dyDescent="0.2">
      <c r="A492" s="50" t="str">
        <f ca="1">IF(ISERROR(MATCH(B492,Код_КЦСР,0)),"",INDIRECT(ADDRESS(MATCH(B492,Код_КЦСР,0)+1,2,,,"КЦСР")))</f>
        <v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v>
      </c>
      <c r="B492" s="79" t="s">
        <v>290</v>
      </c>
      <c r="C492" s="65"/>
      <c r="D492" s="46"/>
      <c r="E492" s="26"/>
      <c r="F492" s="62">
        <f t="shared" ref="F492:M494" si="94">F493</f>
        <v>135</v>
      </c>
      <c r="G492" s="62">
        <f t="shared" si="94"/>
        <v>0</v>
      </c>
      <c r="H492" s="49">
        <f t="shared" si="88"/>
        <v>135</v>
      </c>
      <c r="I492" s="62">
        <f t="shared" si="94"/>
        <v>0</v>
      </c>
      <c r="J492" s="49">
        <f t="shared" si="82"/>
        <v>135</v>
      </c>
      <c r="K492" s="62">
        <f t="shared" si="94"/>
        <v>0</v>
      </c>
      <c r="L492" s="49">
        <f t="shared" si="80"/>
        <v>135</v>
      </c>
      <c r="M492" s="62">
        <f t="shared" si="94"/>
        <v>0</v>
      </c>
      <c r="N492" s="49">
        <f t="shared" si="89"/>
        <v>135</v>
      </c>
    </row>
    <row r="493" spans="1:14" x14ac:dyDescent="0.2">
      <c r="A493" s="50" t="str">
        <f ca="1">IF(ISERROR(MATCH(C493,Код_Раздел,0)),"",INDIRECT(ADDRESS(MATCH(C493,Код_Раздел,0)+1,2,,,"Раздел")))</f>
        <v>Общегосударственные вопросы</v>
      </c>
      <c r="B493" s="79" t="s">
        <v>290</v>
      </c>
      <c r="C493" s="65" t="s">
        <v>70</v>
      </c>
      <c r="D493" s="46"/>
      <c r="E493" s="26"/>
      <c r="F493" s="62">
        <f t="shared" si="94"/>
        <v>135</v>
      </c>
      <c r="G493" s="62">
        <f t="shared" si="94"/>
        <v>0</v>
      </c>
      <c r="H493" s="49">
        <f t="shared" si="88"/>
        <v>135</v>
      </c>
      <c r="I493" s="62">
        <f t="shared" si="94"/>
        <v>0</v>
      </c>
      <c r="J493" s="49">
        <f t="shared" si="82"/>
        <v>135</v>
      </c>
      <c r="K493" s="62">
        <f t="shared" si="94"/>
        <v>0</v>
      </c>
      <c r="L493" s="49">
        <f t="shared" si="80"/>
        <v>135</v>
      </c>
      <c r="M493" s="62">
        <f t="shared" si="94"/>
        <v>0</v>
      </c>
      <c r="N493" s="49">
        <f t="shared" si="89"/>
        <v>135</v>
      </c>
    </row>
    <row r="494" spans="1:14" x14ac:dyDescent="0.2">
      <c r="A494" s="45" t="s">
        <v>91</v>
      </c>
      <c r="B494" s="79" t="s">
        <v>290</v>
      </c>
      <c r="C494" s="65" t="s">
        <v>70</v>
      </c>
      <c r="D494" s="46" t="s">
        <v>55</v>
      </c>
      <c r="E494" s="26"/>
      <c r="F494" s="62">
        <f t="shared" si="94"/>
        <v>135</v>
      </c>
      <c r="G494" s="62">
        <f t="shared" si="94"/>
        <v>0</v>
      </c>
      <c r="H494" s="49">
        <f t="shared" si="88"/>
        <v>135</v>
      </c>
      <c r="I494" s="62">
        <f t="shared" si="94"/>
        <v>0</v>
      </c>
      <c r="J494" s="49">
        <f t="shared" si="82"/>
        <v>135</v>
      </c>
      <c r="K494" s="62">
        <f t="shared" si="94"/>
        <v>0</v>
      </c>
      <c r="L494" s="49">
        <f t="shared" si="80"/>
        <v>135</v>
      </c>
      <c r="M494" s="62">
        <f t="shared" si="94"/>
        <v>0</v>
      </c>
      <c r="N494" s="49">
        <f t="shared" si="89"/>
        <v>135</v>
      </c>
    </row>
    <row r="495" spans="1:14" ht="33" x14ac:dyDescent="0.2">
      <c r="A495" s="50" t="str">
        <f ca="1">IF(ISERROR(MATCH(E495,Код_КВР,0)),"",INDIRECT(ADDRESS(MATCH(E495,Код_КВР,0)+1,2,,,"КВР")))</f>
        <v>Закупка товаров, работ и услуг для обеспечения государственных (муниципальных) нужд</v>
      </c>
      <c r="B495" s="79" t="s">
        <v>290</v>
      </c>
      <c r="C495" s="65" t="s">
        <v>70</v>
      </c>
      <c r="D495" s="46" t="s">
        <v>55</v>
      </c>
      <c r="E495" s="26">
        <v>200</v>
      </c>
      <c r="F495" s="62">
        <f>F496</f>
        <v>135</v>
      </c>
      <c r="G495" s="62">
        <f>G496</f>
        <v>0</v>
      </c>
      <c r="H495" s="49">
        <f t="shared" si="88"/>
        <v>135</v>
      </c>
      <c r="I495" s="62">
        <f>I496</f>
        <v>0</v>
      </c>
      <c r="J495" s="49">
        <f t="shared" si="82"/>
        <v>135</v>
      </c>
      <c r="K495" s="62">
        <f>K496</f>
        <v>0</v>
      </c>
      <c r="L495" s="49">
        <f t="shared" si="80"/>
        <v>135</v>
      </c>
      <c r="M495" s="62">
        <f>M496</f>
        <v>0</v>
      </c>
      <c r="N495" s="49">
        <f t="shared" si="89"/>
        <v>135</v>
      </c>
    </row>
    <row r="496" spans="1:14" ht="33" x14ac:dyDescent="0.2">
      <c r="A496" s="50" t="str">
        <f ca="1">IF(ISERROR(MATCH(E496,Код_КВР,0)),"",INDIRECT(ADDRESS(MATCH(E496,Код_КВР,0)+1,2,,,"КВР")))</f>
        <v>Иные закупки товаров, работ и услуг для обеспечения государственных (муниципальных) нужд</v>
      </c>
      <c r="B496" s="79" t="s">
        <v>290</v>
      </c>
      <c r="C496" s="65" t="s">
        <v>70</v>
      </c>
      <c r="D496" s="46" t="s">
        <v>55</v>
      </c>
      <c r="E496" s="26">
        <v>240</v>
      </c>
      <c r="F496" s="62">
        <f>'прил. 8'!G62</f>
        <v>135</v>
      </c>
      <c r="G496" s="62">
        <f>'прил. 8'!H62</f>
        <v>0</v>
      </c>
      <c r="H496" s="49">
        <f t="shared" si="88"/>
        <v>135</v>
      </c>
      <c r="I496" s="62">
        <f>'прил. 8'!J62</f>
        <v>0</v>
      </c>
      <c r="J496" s="49">
        <f t="shared" si="82"/>
        <v>135</v>
      </c>
      <c r="K496" s="62">
        <f>'прил. 8'!L62</f>
        <v>0</v>
      </c>
      <c r="L496" s="49">
        <f t="shared" si="80"/>
        <v>135</v>
      </c>
      <c r="M496" s="62">
        <f>'прил. 8'!N62</f>
        <v>0</v>
      </c>
      <c r="N496" s="49">
        <f t="shared" si="89"/>
        <v>135</v>
      </c>
    </row>
    <row r="497" spans="1:14" ht="33" x14ac:dyDescent="0.2">
      <c r="A497" s="50" t="str">
        <f ca="1">IF(ISERROR(MATCH(B497,Код_КЦСР,0)),"",INDIRECT(ADDRESS(MATCH(B497,Код_КЦСР,0)+1,2,,,"КЦСР")))</f>
        <v>Муниципальная программа «Поддержка и развитие малого и среднего предпринимательства в городе Череповце на 2013 – 2022 годы»</v>
      </c>
      <c r="B497" s="79" t="s">
        <v>292</v>
      </c>
      <c r="C497" s="65"/>
      <c r="D497" s="46"/>
      <c r="E497" s="26"/>
      <c r="F497" s="62">
        <f>F498+F503</f>
        <v>7301.8</v>
      </c>
      <c r="G497" s="62">
        <f>G498+G503</f>
        <v>7140.4</v>
      </c>
      <c r="H497" s="49">
        <f t="shared" si="88"/>
        <v>14442.2</v>
      </c>
      <c r="I497" s="62">
        <f>I498+I503</f>
        <v>0</v>
      </c>
      <c r="J497" s="49">
        <f t="shared" si="82"/>
        <v>14442.2</v>
      </c>
      <c r="K497" s="62">
        <f>K498+K503</f>
        <v>1264.5999999999999</v>
      </c>
      <c r="L497" s="49">
        <f t="shared" si="80"/>
        <v>15706.800000000001</v>
      </c>
      <c r="M497" s="62">
        <f>M498+M503</f>
        <v>0</v>
      </c>
      <c r="N497" s="49">
        <f t="shared" si="89"/>
        <v>15706.800000000001</v>
      </c>
    </row>
    <row r="498" spans="1:14" ht="33" x14ac:dyDescent="0.2">
      <c r="A498" s="50" t="str">
        <f ca="1">IF(ISERROR(MATCH(B498,Код_КЦСР,0)),"",INDIRECT(ADDRESS(MATCH(B498,Код_КЦСР,0)+1,2,,,"КЦСР")))</f>
        <v>Формирование инфраструктуры поддержки малого и среднего предпринимательства</v>
      </c>
      <c r="B498" s="79" t="s">
        <v>293</v>
      </c>
      <c r="C498" s="65"/>
      <c r="D498" s="46"/>
      <c r="E498" s="26"/>
      <c r="F498" s="62">
        <f t="shared" ref="F498:M501" si="95">F499</f>
        <v>3072.7</v>
      </c>
      <c r="G498" s="62">
        <f t="shared" si="95"/>
        <v>-72.2</v>
      </c>
      <c r="H498" s="49">
        <f t="shared" si="88"/>
        <v>3000.5</v>
      </c>
      <c r="I498" s="62">
        <f t="shared" si="95"/>
        <v>0</v>
      </c>
      <c r="J498" s="49">
        <f t="shared" si="82"/>
        <v>3000.5</v>
      </c>
      <c r="K498" s="62">
        <f t="shared" si="95"/>
        <v>1014.6</v>
      </c>
      <c r="L498" s="49">
        <f t="shared" si="80"/>
        <v>4015.1</v>
      </c>
      <c r="M498" s="62">
        <f t="shared" si="95"/>
        <v>0</v>
      </c>
      <c r="N498" s="49">
        <f t="shared" si="89"/>
        <v>4015.1</v>
      </c>
    </row>
    <row r="499" spans="1:14" x14ac:dyDescent="0.2">
      <c r="A499" s="50" t="str">
        <f ca="1">IF(ISERROR(MATCH(C499,Код_Раздел,0)),"",INDIRECT(ADDRESS(MATCH(C499,Код_Раздел,0)+1,2,,,"Раздел")))</f>
        <v>Национальная экономика</v>
      </c>
      <c r="B499" s="79" t="s">
        <v>293</v>
      </c>
      <c r="C499" s="65" t="s">
        <v>73</v>
      </c>
      <c r="D499" s="46"/>
      <c r="E499" s="26"/>
      <c r="F499" s="62">
        <f t="shared" si="95"/>
        <v>3072.7</v>
      </c>
      <c r="G499" s="62">
        <f t="shared" si="95"/>
        <v>-72.2</v>
      </c>
      <c r="H499" s="49">
        <f t="shared" si="88"/>
        <v>3000.5</v>
      </c>
      <c r="I499" s="62">
        <f t="shared" si="95"/>
        <v>0</v>
      </c>
      <c r="J499" s="49">
        <f t="shared" si="82"/>
        <v>3000.5</v>
      </c>
      <c r="K499" s="62">
        <f t="shared" si="95"/>
        <v>1014.6</v>
      </c>
      <c r="L499" s="49">
        <f t="shared" ref="L499:L562" si="96">J499+K499</f>
        <v>4015.1</v>
      </c>
      <c r="M499" s="62">
        <f t="shared" si="95"/>
        <v>0</v>
      </c>
      <c r="N499" s="49">
        <f t="shared" si="89"/>
        <v>4015.1</v>
      </c>
    </row>
    <row r="500" spans="1:14" x14ac:dyDescent="0.2">
      <c r="A500" s="45" t="s">
        <v>80</v>
      </c>
      <c r="B500" s="79" t="s">
        <v>293</v>
      </c>
      <c r="C500" s="65" t="s">
        <v>73</v>
      </c>
      <c r="D500" s="65" t="s">
        <v>61</v>
      </c>
      <c r="E500" s="26"/>
      <c r="F500" s="62">
        <f t="shared" si="95"/>
        <v>3072.7</v>
      </c>
      <c r="G500" s="62">
        <f t="shared" si="95"/>
        <v>-72.2</v>
      </c>
      <c r="H500" s="49">
        <f t="shared" si="88"/>
        <v>3000.5</v>
      </c>
      <c r="I500" s="62">
        <f t="shared" si="95"/>
        <v>0</v>
      </c>
      <c r="J500" s="49">
        <f t="shared" si="82"/>
        <v>3000.5</v>
      </c>
      <c r="K500" s="62">
        <f t="shared" si="95"/>
        <v>1014.6</v>
      </c>
      <c r="L500" s="49">
        <f t="shared" si="96"/>
        <v>4015.1</v>
      </c>
      <c r="M500" s="62">
        <f t="shared" si="95"/>
        <v>0</v>
      </c>
      <c r="N500" s="49">
        <f t="shared" si="89"/>
        <v>4015.1</v>
      </c>
    </row>
    <row r="501" spans="1:14" ht="33" x14ac:dyDescent="0.2">
      <c r="A501" s="50" t="str">
        <f ca="1">IF(ISERROR(MATCH(E501,Код_КВР,0)),"",INDIRECT(ADDRESS(MATCH(E501,Код_КВР,0)+1,2,,,"КВР")))</f>
        <v>Предоставление субсидий бюджетным, автономным учреждениям и иным некоммерческим организациям</v>
      </c>
      <c r="B501" s="79" t="s">
        <v>293</v>
      </c>
      <c r="C501" s="65" t="s">
        <v>73</v>
      </c>
      <c r="D501" s="65" t="s">
        <v>61</v>
      </c>
      <c r="E501" s="26">
        <v>600</v>
      </c>
      <c r="F501" s="62">
        <f t="shared" si="95"/>
        <v>3072.7</v>
      </c>
      <c r="G501" s="62">
        <f t="shared" si="95"/>
        <v>-72.2</v>
      </c>
      <c r="H501" s="49">
        <f t="shared" si="88"/>
        <v>3000.5</v>
      </c>
      <c r="I501" s="62">
        <f t="shared" si="95"/>
        <v>0</v>
      </c>
      <c r="J501" s="49">
        <f t="shared" si="82"/>
        <v>3000.5</v>
      </c>
      <c r="K501" s="62">
        <f t="shared" si="95"/>
        <v>1014.6</v>
      </c>
      <c r="L501" s="49">
        <f t="shared" si="96"/>
        <v>4015.1</v>
      </c>
      <c r="M501" s="62">
        <f t="shared" si="95"/>
        <v>0</v>
      </c>
      <c r="N501" s="49">
        <f t="shared" si="89"/>
        <v>4015.1</v>
      </c>
    </row>
    <row r="502" spans="1:14" ht="33" x14ac:dyDescent="0.2">
      <c r="A502" s="50" t="str">
        <f ca="1">IF(ISERROR(MATCH(E502,Код_КВР,0)),"",INDIRECT(ADDRESS(MATCH(E502,Код_КВР,0)+1,2,,,"КВР")))</f>
        <v>Субсидии некоммерческим организациям (за исключением государственных (муниципальных) учреждений)</v>
      </c>
      <c r="B502" s="79" t="s">
        <v>293</v>
      </c>
      <c r="C502" s="65" t="s">
        <v>73</v>
      </c>
      <c r="D502" s="65" t="s">
        <v>61</v>
      </c>
      <c r="E502" s="26">
        <v>630</v>
      </c>
      <c r="F502" s="62">
        <f>'прил. 8'!G232</f>
        <v>3072.7</v>
      </c>
      <c r="G502" s="62">
        <f>'прил. 8'!H232</f>
        <v>-72.2</v>
      </c>
      <c r="H502" s="49">
        <f t="shared" si="88"/>
        <v>3000.5</v>
      </c>
      <c r="I502" s="62">
        <f>'прил. 8'!J232</f>
        <v>0</v>
      </c>
      <c r="J502" s="49">
        <f t="shared" si="82"/>
        <v>3000.5</v>
      </c>
      <c r="K502" s="62">
        <f>'прил. 8'!L232</f>
        <v>1014.6</v>
      </c>
      <c r="L502" s="49">
        <f t="shared" si="96"/>
        <v>4015.1</v>
      </c>
      <c r="M502" s="62">
        <f>'прил. 8'!N232</f>
        <v>0</v>
      </c>
      <c r="N502" s="49">
        <f t="shared" si="89"/>
        <v>4015.1</v>
      </c>
    </row>
    <row r="503" spans="1:14" x14ac:dyDescent="0.2">
      <c r="A503" s="50" t="str">
        <f ca="1">IF(ISERROR(MATCH(B503,Код_КЦСР,0)),"",INDIRECT(ADDRESS(MATCH(B503,Код_КЦСР,0)+1,2,,,"КЦСР")))</f>
        <v>Финансовая поддержка субъектов малого и среднего предпринимательства</v>
      </c>
      <c r="B503" s="79" t="s">
        <v>481</v>
      </c>
      <c r="C503" s="65"/>
      <c r="D503" s="46"/>
      <c r="E503" s="26"/>
      <c r="F503" s="62">
        <f>F504+F509+F519+F524</f>
        <v>4229.1000000000004</v>
      </c>
      <c r="G503" s="62">
        <f>G504+G509+G519+G524</f>
        <v>7212.5999999999995</v>
      </c>
      <c r="H503" s="49">
        <f t="shared" si="88"/>
        <v>11441.7</v>
      </c>
      <c r="I503" s="62">
        <f>I504+I509+I519+I524</f>
        <v>0</v>
      </c>
      <c r="J503" s="49">
        <f t="shared" si="82"/>
        <v>11441.7</v>
      </c>
      <c r="K503" s="62">
        <f>K504+K509+K519+K524+K514</f>
        <v>250</v>
      </c>
      <c r="L503" s="49">
        <f t="shared" si="96"/>
        <v>11691.7</v>
      </c>
      <c r="M503" s="62">
        <f>M504+M509+M519+M524+M514</f>
        <v>0</v>
      </c>
      <c r="N503" s="49">
        <f t="shared" si="89"/>
        <v>11691.7</v>
      </c>
    </row>
    <row r="504" spans="1:14" ht="49.5" hidden="1" x14ac:dyDescent="0.2">
      <c r="A504" s="50" t="str">
        <f ca="1">IF(ISERROR(MATCH(B504,Код_КЦСР,0)),"",INDIRECT(ADDRESS(MATCH(B504,Код_КЦСР,0)+1,2,,,"КЦСР")))</f>
        <v>Поддержка и развитие малого и среднего предпринимательства муниципального образования, вошедшего в список моногородов, за счет средств областного бюджета</v>
      </c>
      <c r="B504" s="79" t="s">
        <v>483</v>
      </c>
      <c r="C504" s="65"/>
      <c r="D504" s="46"/>
      <c r="E504" s="26"/>
      <c r="F504" s="62">
        <f t="shared" ref="F504:M512" si="97">F505</f>
        <v>0</v>
      </c>
      <c r="G504" s="62">
        <f t="shared" si="97"/>
        <v>0</v>
      </c>
      <c r="H504" s="49">
        <f t="shared" si="88"/>
        <v>0</v>
      </c>
      <c r="I504" s="62">
        <f t="shared" si="97"/>
        <v>0</v>
      </c>
      <c r="J504" s="49">
        <f t="shared" si="82"/>
        <v>0</v>
      </c>
      <c r="K504" s="62">
        <f t="shared" si="97"/>
        <v>0</v>
      </c>
      <c r="L504" s="49">
        <f t="shared" si="96"/>
        <v>0</v>
      </c>
      <c r="M504" s="62">
        <f t="shared" si="97"/>
        <v>0</v>
      </c>
      <c r="N504" s="49">
        <f t="shared" si="89"/>
        <v>0</v>
      </c>
    </row>
    <row r="505" spans="1:14" hidden="1" x14ac:dyDescent="0.2">
      <c r="A505" s="50" t="str">
        <f ca="1">IF(ISERROR(MATCH(C505,Код_Раздел,0)),"",INDIRECT(ADDRESS(MATCH(C505,Код_Раздел,0)+1,2,,,"Раздел")))</f>
        <v>Национальная экономика</v>
      </c>
      <c r="B505" s="79" t="s">
        <v>483</v>
      </c>
      <c r="C505" s="65" t="s">
        <v>73</v>
      </c>
      <c r="D505" s="46"/>
      <c r="E505" s="26"/>
      <c r="F505" s="62">
        <f t="shared" si="97"/>
        <v>0</v>
      </c>
      <c r="G505" s="62">
        <f t="shared" si="97"/>
        <v>0</v>
      </c>
      <c r="H505" s="49">
        <f t="shared" si="88"/>
        <v>0</v>
      </c>
      <c r="I505" s="62">
        <f t="shared" si="97"/>
        <v>0</v>
      </c>
      <c r="J505" s="49">
        <f t="shared" ref="J505:J573" si="98">H505+I505</f>
        <v>0</v>
      </c>
      <c r="K505" s="62">
        <f t="shared" si="97"/>
        <v>0</v>
      </c>
      <c r="L505" s="49">
        <f t="shared" si="96"/>
        <v>0</v>
      </c>
      <c r="M505" s="62">
        <f t="shared" si="97"/>
        <v>0</v>
      </c>
      <c r="N505" s="49">
        <f t="shared" si="89"/>
        <v>0</v>
      </c>
    </row>
    <row r="506" spans="1:14" hidden="1" x14ac:dyDescent="0.2">
      <c r="A506" s="45" t="s">
        <v>80</v>
      </c>
      <c r="B506" s="79" t="s">
        <v>483</v>
      </c>
      <c r="C506" s="65" t="s">
        <v>73</v>
      </c>
      <c r="D506" s="65" t="s">
        <v>61</v>
      </c>
      <c r="E506" s="26"/>
      <c r="F506" s="62">
        <f t="shared" si="97"/>
        <v>0</v>
      </c>
      <c r="G506" s="62">
        <f t="shared" si="97"/>
        <v>0</v>
      </c>
      <c r="H506" s="49">
        <f t="shared" si="88"/>
        <v>0</v>
      </c>
      <c r="I506" s="62">
        <f t="shared" si="97"/>
        <v>0</v>
      </c>
      <c r="J506" s="49">
        <f t="shared" si="98"/>
        <v>0</v>
      </c>
      <c r="K506" s="62">
        <f t="shared" si="97"/>
        <v>0</v>
      </c>
      <c r="L506" s="49">
        <f t="shared" si="96"/>
        <v>0</v>
      </c>
      <c r="M506" s="62">
        <f t="shared" si="97"/>
        <v>0</v>
      </c>
      <c r="N506" s="49">
        <f t="shared" si="89"/>
        <v>0</v>
      </c>
    </row>
    <row r="507" spans="1:14" hidden="1" x14ac:dyDescent="0.2">
      <c r="A507" s="50" t="str">
        <f ca="1">IF(ISERROR(MATCH(E507,Код_КВР,0)),"",INDIRECT(ADDRESS(MATCH(E507,Код_КВР,0)+1,2,,,"КВР")))</f>
        <v>Иные бюджетные ассигнования</v>
      </c>
      <c r="B507" s="79" t="s">
        <v>483</v>
      </c>
      <c r="C507" s="65" t="s">
        <v>73</v>
      </c>
      <c r="D507" s="65" t="s">
        <v>61</v>
      </c>
      <c r="E507" s="26">
        <v>800</v>
      </c>
      <c r="F507" s="62">
        <f t="shared" si="97"/>
        <v>0</v>
      </c>
      <c r="G507" s="62">
        <f t="shared" si="97"/>
        <v>0</v>
      </c>
      <c r="H507" s="49">
        <f t="shared" si="88"/>
        <v>0</v>
      </c>
      <c r="I507" s="62">
        <f t="shared" si="97"/>
        <v>0</v>
      </c>
      <c r="J507" s="49">
        <f t="shared" si="98"/>
        <v>0</v>
      </c>
      <c r="K507" s="62">
        <f t="shared" si="97"/>
        <v>0</v>
      </c>
      <c r="L507" s="49">
        <f t="shared" si="96"/>
        <v>0</v>
      </c>
      <c r="M507" s="62">
        <f t="shared" si="97"/>
        <v>0</v>
      </c>
      <c r="N507" s="49">
        <f t="shared" si="89"/>
        <v>0</v>
      </c>
    </row>
    <row r="508" spans="1:14" ht="49.5" hidden="1" x14ac:dyDescent="0.2">
      <c r="A508" s="50" t="str">
        <f ca="1">IF(ISERROR(MATCH(E508,Код_КВР,0)),"",INDIRECT(ADDRESS(MATCH(E508,Код_КВР,0)+1,2,,,"КВР")))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508" s="79" t="s">
        <v>483</v>
      </c>
      <c r="C508" s="65" t="s">
        <v>73</v>
      </c>
      <c r="D508" s="65" t="s">
        <v>61</v>
      </c>
      <c r="E508" s="26">
        <v>810</v>
      </c>
      <c r="F508" s="62">
        <f>'прил. 8'!G236</f>
        <v>0</v>
      </c>
      <c r="G508" s="62">
        <f>'прил. 8'!H236</f>
        <v>0</v>
      </c>
      <c r="H508" s="49">
        <f t="shared" si="88"/>
        <v>0</v>
      </c>
      <c r="I508" s="62">
        <f>'прил. 8'!J236</f>
        <v>0</v>
      </c>
      <c r="J508" s="49">
        <f t="shared" si="98"/>
        <v>0</v>
      </c>
      <c r="K508" s="62">
        <f>'прил. 8'!L236</f>
        <v>0</v>
      </c>
      <c r="L508" s="49">
        <f t="shared" si="96"/>
        <v>0</v>
      </c>
      <c r="M508" s="62">
        <f>'прил. 8'!N236</f>
        <v>0</v>
      </c>
      <c r="N508" s="49">
        <f t="shared" si="89"/>
        <v>0</v>
      </c>
    </row>
    <row r="509" spans="1:14" ht="49.5" hidden="1" x14ac:dyDescent="0.2">
      <c r="A509" s="50" t="str">
        <f ca="1">IF(ISERROR(MATCH(B509,Код_КЦСР,0)),"",INDIRECT(ADDRESS(MATCH(B509,Код_КЦСР,0)+1,2,,,"КЦСР")))</f>
        <v>Поддержка и развитие малого и среднего предпринимательства муниципального образования, вошедшего в список моногородов, в рамках софинансирования с вышестоящим бюджетом</v>
      </c>
      <c r="B509" s="79" t="s">
        <v>498</v>
      </c>
      <c r="C509" s="65"/>
      <c r="D509" s="46"/>
      <c r="E509" s="26"/>
      <c r="F509" s="62">
        <f t="shared" si="97"/>
        <v>0</v>
      </c>
      <c r="G509" s="62">
        <f t="shared" si="97"/>
        <v>0</v>
      </c>
      <c r="H509" s="49">
        <f t="shared" si="88"/>
        <v>0</v>
      </c>
      <c r="I509" s="62">
        <f t="shared" si="97"/>
        <v>0</v>
      </c>
      <c r="J509" s="49">
        <f t="shared" si="98"/>
        <v>0</v>
      </c>
      <c r="K509" s="62">
        <f t="shared" si="97"/>
        <v>0</v>
      </c>
      <c r="L509" s="49">
        <f t="shared" si="96"/>
        <v>0</v>
      </c>
      <c r="M509" s="62">
        <f t="shared" si="97"/>
        <v>0</v>
      </c>
      <c r="N509" s="49">
        <f t="shared" si="89"/>
        <v>0</v>
      </c>
    </row>
    <row r="510" spans="1:14" hidden="1" x14ac:dyDescent="0.2">
      <c r="A510" s="50" t="str">
        <f ca="1">IF(ISERROR(MATCH(C510,Код_Раздел,0)),"",INDIRECT(ADDRESS(MATCH(C510,Код_Раздел,0)+1,2,,,"Раздел")))</f>
        <v>Национальная экономика</v>
      </c>
      <c r="B510" s="79" t="s">
        <v>498</v>
      </c>
      <c r="C510" s="65" t="s">
        <v>73</v>
      </c>
      <c r="D510" s="46"/>
      <c r="E510" s="26"/>
      <c r="F510" s="62">
        <f t="shared" si="97"/>
        <v>0</v>
      </c>
      <c r="G510" s="62">
        <f t="shared" si="97"/>
        <v>0</v>
      </c>
      <c r="H510" s="49">
        <f t="shared" si="88"/>
        <v>0</v>
      </c>
      <c r="I510" s="62">
        <f t="shared" si="97"/>
        <v>0</v>
      </c>
      <c r="J510" s="49">
        <f t="shared" si="98"/>
        <v>0</v>
      </c>
      <c r="K510" s="62">
        <f t="shared" si="97"/>
        <v>0</v>
      </c>
      <c r="L510" s="49">
        <f t="shared" si="96"/>
        <v>0</v>
      </c>
      <c r="M510" s="62">
        <f t="shared" si="97"/>
        <v>0</v>
      </c>
      <c r="N510" s="49">
        <f t="shared" si="89"/>
        <v>0</v>
      </c>
    </row>
    <row r="511" spans="1:14" hidden="1" x14ac:dyDescent="0.2">
      <c r="A511" s="45" t="s">
        <v>80</v>
      </c>
      <c r="B511" s="79" t="s">
        <v>498</v>
      </c>
      <c r="C511" s="65" t="s">
        <v>73</v>
      </c>
      <c r="D511" s="65" t="s">
        <v>61</v>
      </c>
      <c r="E511" s="26"/>
      <c r="F511" s="62">
        <f t="shared" si="97"/>
        <v>0</v>
      </c>
      <c r="G511" s="62">
        <f t="shared" si="97"/>
        <v>0</v>
      </c>
      <c r="H511" s="49">
        <f t="shared" si="88"/>
        <v>0</v>
      </c>
      <c r="I511" s="62">
        <f t="shared" si="97"/>
        <v>0</v>
      </c>
      <c r="J511" s="49">
        <f t="shared" si="98"/>
        <v>0</v>
      </c>
      <c r="K511" s="62">
        <f t="shared" si="97"/>
        <v>0</v>
      </c>
      <c r="L511" s="49">
        <f t="shared" si="96"/>
        <v>0</v>
      </c>
      <c r="M511" s="62">
        <f t="shared" si="97"/>
        <v>0</v>
      </c>
      <c r="N511" s="49">
        <f t="shared" si="89"/>
        <v>0</v>
      </c>
    </row>
    <row r="512" spans="1:14" hidden="1" x14ac:dyDescent="0.2">
      <c r="A512" s="50" t="str">
        <f ca="1">IF(ISERROR(MATCH(E512,Код_КВР,0)),"",INDIRECT(ADDRESS(MATCH(E512,Код_КВР,0)+1,2,,,"КВР")))</f>
        <v>Иные бюджетные ассигнования</v>
      </c>
      <c r="B512" s="79" t="s">
        <v>498</v>
      </c>
      <c r="C512" s="65" t="s">
        <v>73</v>
      </c>
      <c r="D512" s="65" t="s">
        <v>61</v>
      </c>
      <c r="E512" s="26">
        <v>800</v>
      </c>
      <c r="F512" s="62">
        <f t="shared" si="97"/>
        <v>0</v>
      </c>
      <c r="G512" s="62">
        <f t="shared" si="97"/>
        <v>0</v>
      </c>
      <c r="H512" s="49">
        <f t="shared" si="88"/>
        <v>0</v>
      </c>
      <c r="I512" s="62">
        <f t="shared" si="97"/>
        <v>0</v>
      </c>
      <c r="J512" s="49">
        <f t="shared" si="98"/>
        <v>0</v>
      </c>
      <c r="K512" s="62">
        <f t="shared" si="97"/>
        <v>0</v>
      </c>
      <c r="L512" s="49">
        <f t="shared" si="96"/>
        <v>0</v>
      </c>
      <c r="M512" s="62">
        <f t="shared" si="97"/>
        <v>0</v>
      </c>
      <c r="N512" s="49">
        <f t="shared" si="89"/>
        <v>0</v>
      </c>
    </row>
    <row r="513" spans="1:14" ht="49.5" hidden="1" x14ac:dyDescent="0.2">
      <c r="A513" s="50" t="str">
        <f ca="1">IF(ISERROR(MATCH(E513,Код_КВР,0)),"",INDIRECT(ADDRESS(MATCH(E513,Код_КВР,0)+1,2,,,"КВР")))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513" s="79" t="s">
        <v>498</v>
      </c>
      <c r="C513" s="65" t="s">
        <v>73</v>
      </c>
      <c r="D513" s="65" t="s">
        <v>61</v>
      </c>
      <c r="E513" s="26">
        <v>810</v>
      </c>
      <c r="F513" s="62">
        <f>'прил. 8'!G239</f>
        <v>0</v>
      </c>
      <c r="G513" s="62">
        <f>'прил. 8'!H239</f>
        <v>0</v>
      </c>
      <c r="H513" s="49">
        <f t="shared" si="88"/>
        <v>0</v>
      </c>
      <c r="I513" s="62">
        <f>'прил. 8'!J239</f>
        <v>0</v>
      </c>
      <c r="J513" s="49">
        <f t="shared" si="98"/>
        <v>0</v>
      </c>
      <c r="K513" s="62">
        <f>'прил. 8'!L239</f>
        <v>0</v>
      </c>
      <c r="L513" s="49">
        <f t="shared" si="96"/>
        <v>0</v>
      </c>
      <c r="M513" s="62">
        <f>'прил. 8'!N239</f>
        <v>0</v>
      </c>
      <c r="N513" s="49">
        <f t="shared" si="89"/>
        <v>0</v>
      </c>
    </row>
    <row r="514" spans="1:14" ht="48" customHeight="1" x14ac:dyDescent="0.2">
      <c r="A514" s="50" t="str">
        <f ca="1">IF(ISERROR(MATCH(B514,Код_КЦСР,0)),"",INDIRECT(ADDRESS(MATCH(B514,Код_КЦСР,0)+1,2,,,"КЦСР")))</f>
        <v>Финансовая поддержка субъектов малого и среднего предпринимательства, за счет средств городского бюджета</v>
      </c>
      <c r="B514" s="79" t="s">
        <v>683</v>
      </c>
      <c r="C514" s="65"/>
      <c r="D514" s="46"/>
      <c r="E514" s="26"/>
      <c r="F514" s="62"/>
      <c r="G514" s="62"/>
      <c r="H514" s="49"/>
      <c r="I514" s="62"/>
      <c r="J514" s="49"/>
      <c r="K514" s="62">
        <f>K515</f>
        <v>250</v>
      </c>
      <c r="L514" s="49">
        <f t="shared" si="96"/>
        <v>250</v>
      </c>
      <c r="M514" s="62">
        <f>M515</f>
        <v>0</v>
      </c>
      <c r="N514" s="49">
        <f t="shared" si="89"/>
        <v>250</v>
      </c>
    </row>
    <row r="515" spans="1:14" x14ac:dyDescent="0.2">
      <c r="A515" s="50" t="str">
        <f ca="1">IF(ISERROR(MATCH(C515,Код_Раздел,0)),"",INDIRECT(ADDRESS(MATCH(C515,Код_Раздел,0)+1,2,,,"Раздел")))</f>
        <v>Национальная экономика</v>
      </c>
      <c r="B515" s="79" t="s">
        <v>683</v>
      </c>
      <c r="C515" s="65" t="s">
        <v>73</v>
      </c>
      <c r="D515" s="46"/>
      <c r="E515" s="26"/>
      <c r="F515" s="62"/>
      <c r="G515" s="62"/>
      <c r="H515" s="49"/>
      <c r="I515" s="62"/>
      <c r="J515" s="49"/>
      <c r="K515" s="62">
        <f>K516</f>
        <v>250</v>
      </c>
      <c r="L515" s="49">
        <f t="shared" si="96"/>
        <v>250</v>
      </c>
      <c r="M515" s="62">
        <f>M516</f>
        <v>0</v>
      </c>
      <c r="N515" s="49">
        <f t="shared" si="89"/>
        <v>250</v>
      </c>
    </row>
    <row r="516" spans="1:14" x14ac:dyDescent="0.2">
      <c r="A516" s="45" t="s">
        <v>80</v>
      </c>
      <c r="B516" s="79" t="s">
        <v>683</v>
      </c>
      <c r="C516" s="65" t="s">
        <v>73</v>
      </c>
      <c r="D516" s="65" t="s">
        <v>61</v>
      </c>
      <c r="E516" s="26"/>
      <c r="F516" s="62"/>
      <c r="G516" s="62"/>
      <c r="H516" s="49"/>
      <c r="I516" s="62"/>
      <c r="J516" s="49"/>
      <c r="K516" s="62">
        <f>K517</f>
        <v>250</v>
      </c>
      <c r="L516" s="49">
        <f t="shared" si="96"/>
        <v>250</v>
      </c>
      <c r="M516" s="62">
        <f>M517</f>
        <v>0</v>
      </c>
      <c r="N516" s="49">
        <f t="shared" si="89"/>
        <v>250</v>
      </c>
    </row>
    <row r="517" spans="1:14" x14ac:dyDescent="0.2">
      <c r="A517" s="50" t="str">
        <f ca="1">IF(ISERROR(MATCH(E517,Код_КВР,0)),"",INDIRECT(ADDRESS(MATCH(E517,Код_КВР,0)+1,2,,,"КВР")))</f>
        <v>Иные бюджетные ассигнования</v>
      </c>
      <c r="B517" s="79" t="s">
        <v>683</v>
      </c>
      <c r="C517" s="65" t="s">
        <v>73</v>
      </c>
      <c r="D517" s="65" t="s">
        <v>61</v>
      </c>
      <c r="E517" s="26">
        <v>800</v>
      </c>
      <c r="F517" s="62"/>
      <c r="G517" s="62"/>
      <c r="H517" s="49"/>
      <c r="I517" s="62"/>
      <c r="J517" s="49"/>
      <c r="K517" s="62">
        <f>K518</f>
        <v>250</v>
      </c>
      <c r="L517" s="49">
        <f t="shared" si="96"/>
        <v>250</v>
      </c>
      <c r="M517" s="62">
        <f>M518</f>
        <v>0</v>
      </c>
      <c r="N517" s="49">
        <f t="shared" si="89"/>
        <v>250</v>
      </c>
    </row>
    <row r="518" spans="1:14" ht="49.5" x14ac:dyDescent="0.2">
      <c r="A518" s="50" t="str">
        <f ca="1">IF(ISERROR(MATCH(E518,Код_КВР,0)),"",INDIRECT(ADDRESS(MATCH(E518,Код_КВР,0)+1,2,,,"КВР")))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518" s="79" t="s">
        <v>683</v>
      </c>
      <c r="C518" s="65" t="s">
        <v>73</v>
      </c>
      <c r="D518" s="65" t="s">
        <v>61</v>
      </c>
      <c r="E518" s="26">
        <v>810</v>
      </c>
      <c r="F518" s="62"/>
      <c r="G518" s="62"/>
      <c r="H518" s="49"/>
      <c r="I518" s="62"/>
      <c r="J518" s="49"/>
      <c r="K518" s="62">
        <f>'прил. 8'!L242</f>
        <v>250</v>
      </c>
      <c r="L518" s="49">
        <f t="shared" si="96"/>
        <v>250</v>
      </c>
      <c r="M518" s="62">
        <f>'прил. 8'!N242</f>
        <v>0</v>
      </c>
      <c r="N518" s="49">
        <f t="shared" si="89"/>
        <v>250</v>
      </c>
    </row>
    <row r="519" spans="1:14" ht="70.5" customHeight="1" x14ac:dyDescent="0.2">
      <c r="A519" s="50" t="str">
        <f ca="1">IF(ISERROR(MATCH(B519,Код_КЦСР,0)),"",INDIRECT(ADDRESS(MATCH(B519,Код_КЦСР,0)+1,2,,,"КЦСР")))</f>
        <v>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предпринимательства, в рамках софинансирования с вышестоящим бюджетом</v>
      </c>
      <c r="B519" s="79" t="s">
        <v>616</v>
      </c>
      <c r="C519" s="65"/>
      <c r="D519" s="46"/>
      <c r="E519" s="26"/>
      <c r="F519" s="62">
        <f t="shared" ref="F519:M522" si="99">F520</f>
        <v>42.3</v>
      </c>
      <c r="G519" s="62">
        <f t="shared" si="99"/>
        <v>72.2</v>
      </c>
      <c r="H519" s="49">
        <f t="shared" si="88"/>
        <v>114.5</v>
      </c>
      <c r="I519" s="62">
        <f t="shared" si="99"/>
        <v>0</v>
      </c>
      <c r="J519" s="49">
        <f t="shared" si="98"/>
        <v>114.5</v>
      </c>
      <c r="K519" s="62">
        <f t="shared" si="99"/>
        <v>0</v>
      </c>
      <c r="L519" s="49">
        <f t="shared" si="96"/>
        <v>114.5</v>
      </c>
      <c r="M519" s="62">
        <f t="shared" si="99"/>
        <v>0</v>
      </c>
      <c r="N519" s="49">
        <f t="shared" si="89"/>
        <v>114.5</v>
      </c>
    </row>
    <row r="520" spans="1:14" x14ac:dyDescent="0.2">
      <c r="A520" s="50" t="str">
        <f ca="1">IF(ISERROR(MATCH(C520,Код_Раздел,0)),"",INDIRECT(ADDRESS(MATCH(C520,Код_Раздел,0)+1,2,,,"Раздел")))</f>
        <v>Национальная экономика</v>
      </c>
      <c r="B520" s="79" t="s">
        <v>616</v>
      </c>
      <c r="C520" s="65" t="s">
        <v>73</v>
      </c>
      <c r="D520" s="46"/>
      <c r="E520" s="26"/>
      <c r="F520" s="62">
        <f t="shared" si="99"/>
        <v>42.3</v>
      </c>
      <c r="G520" s="62">
        <f t="shared" si="99"/>
        <v>72.2</v>
      </c>
      <c r="H520" s="49">
        <f t="shared" si="88"/>
        <v>114.5</v>
      </c>
      <c r="I520" s="62">
        <f t="shared" si="99"/>
        <v>0</v>
      </c>
      <c r="J520" s="49">
        <f t="shared" si="98"/>
        <v>114.5</v>
      </c>
      <c r="K520" s="62">
        <f t="shared" si="99"/>
        <v>0</v>
      </c>
      <c r="L520" s="49">
        <f t="shared" si="96"/>
        <v>114.5</v>
      </c>
      <c r="M520" s="62">
        <f t="shared" si="99"/>
        <v>0</v>
      </c>
      <c r="N520" s="49">
        <f t="shared" si="89"/>
        <v>114.5</v>
      </c>
    </row>
    <row r="521" spans="1:14" x14ac:dyDescent="0.2">
      <c r="A521" s="45" t="s">
        <v>80</v>
      </c>
      <c r="B521" s="79" t="s">
        <v>616</v>
      </c>
      <c r="C521" s="65" t="s">
        <v>73</v>
      </c>
      <c r="D521" s="65" t="s">
        <v>61</v>
      </c>
      <c r="E521" s="26"/>
      <c r="F521" s="62">
        <f t="shared" si="99"/>
        <v>42.3</v>
      </c>
      <c r="G521" s="62">
        <f t="shared" si="99"/>
        <v>72.2</v>
      </c>
      <c r="H521" s="49">
        <f t="shared" si="88"/>
        <v>114.5</v>
      </c>
      <c r="I521" s="62">
        <f t="shared" si="99"/>
        <v>0</v>
      </c>
      <c r="J521" s="49">
        <f t="shared" si="98"/>
        <v>114.5</v>
      </c>
      <c r="K521" s="62">
        <f t="shared" si="99"/>
        <v>0</v>
      </c>
      <c r="L521" s="49">
        <f t="shared" si="96"/>
        <v>114.5</v>
      </c>
      <c r="M521" s="62">
        <f t="shared" si="99"/>
        <v>0</v>
      </c>
      <c r="N521" s="49">
        <f t="shared" si="89"/>
        <v>114.5</v>
      </c>
    </row>
    <row r="522" spans="1:14" x14ac:dyDescent="0.2">
      <c r="A522" s="50" t="str">
        <f ca="1">IF(ISERROR(MATCH(E522,Код_КВР,0)),"",INDIRECT(ADDRESS(MATCH(E522,Код_КВР,0)+1,2,,,"КВР")))</f>
        <v>Иные бюджетные ассигнования</v>
      </c>
      <c r="B522" s="79" t="s">
        <v>616</v>
      </c>
      <c r="C522" s="65" t="s">
        <v>73</v>
      </c>
      <c r="D522" s="65" t="s">
        <v>61</v>
      </c>
      <c r="E522" s="26">
        <v>800</v>
      </c>
      <c r="F522" s="62">
        <f t="shared" si="99"/>
        <v>42.3</v>
      </c>
      <c r="G522" s="62">
        <f t="shared" si="99"/>
        <v>72.2</v>
      </c>
      <c r="H522" s="49">
        <f t="shared" si="88"/>
        <v>114.5</v>
      </c>
      <c r="I522" s="62">
        <f t="shared" si="99"/>
        <v>0</v>
      </c>
      <c r="J522" s="49">
        <f t="shared" si="98"/>
        <v>114.5</v>
      </c>
      <c r="K522" s="62">
        <f t="shared" si="99"/>
        <v>0</v>
      </c>
      <c r="L522" s="49">
        <f t="shared" si="96"/>
        <v>114.5</v>
      </c>
      <c r="M522" s="62">
        <f t="shared" si="99"/>
        <v>0</v>
      </c>
      <c r="N522" s="49">
        <f t="shared" si="89"/>
        <v>114.5</v>
      </c>
    </row>
    <row r="523" spans="1:14" ht="49.5" x14ac:dyDescent="0.2">
      <c r="A523" s="50" t="str">
        <f ca="1">IF(ISERROR(MATCH(E523,Код_КВР,0)),"",INDIRECT(ADDRESS(MATCH(E523,Код_КВР,0)+1,2,,,"КВР")))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523" s="79" t="s">
        <v>616</v>
      </c>
      <c r="C523" s="65" t="s">
        <v>73</v>
      </c>
      <c r="D523" s="65" t="s">
        <v>61</v>
      </c>
      <c r="E523" s="26">
        <v>810</v>
      </c>
      <c r="F523" s="62">
        <f>'прил. 8'!G245</f>
        <v>42.3</v>
      </c>
      <c r="G523" s="62">
        <f>'прил. 8'!H245</f>
        <v>72.2</v>
      </c>
      <c r="H523" s="49">
        <f t="shared" si="88"/>
        <v>114.5</v>
      </c>
      <c r="I523" s="62">
        <f>'прил. 8'!J245</f>
        <v>0</v>
      </c>
      <c r="J523" s="49">
        <f t="shared" si="98"/>
        <v>114.5</v>
      </c>
      <c r="K523" s="62">
        <f>'прил. 8'!L245</f>
        <v>0</v>
      </c>
      <c r="L523" s="49">
        <f t="shared" si="96"/>
        <v>114.5</v>
      </c>
      <c r="M523" s="62">
        <f>'прил. 8'!N245</f>
        <v>0</v>
      </c>
      <c r="N523" s="49">
        <f t="shared" si="89"/>
        <v>114.5</v>
      </c>
    </row>
    <row r="524" spans="1:14" ht="75" customHeight="1" x14ac:dyDescent="0.2">
      <c r="A524" s="50" t="str">
        <f ca="1">IF(ISERROR(MATCH(B524,Код_КЦСР,0)),"",INDIRECT(ADDRESS(MATCH(B524,Код_КЦСР,0)+1,2,,,"КЦСР")))</f>
        <v>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предпринимательства, за счет средств вышестоящих бюджетов</v>
      </c>
      <c r="B524" s="79" t="s">
        <v>617</v>
      </c>
      <c r="C524" s="65"/>
      <c r="D524" s="65"/>
      <c r="E524" s="26"/>
      <c r="F524" s="62">
        <f t="shared" ref="F524:M527" si="100">F525</f>
        <v>4186.8</v>
      </c>
      <c r="G524" s="62">
        <f t="shared" si="100"/>
        <v>7140.4</v>
      </c>
      <c r="H524" s="49">
        <f t="shared" si="88"/>
        <v>11327.2</v>
      </c>
      <c r="I524" s="62">
        <f t="shared" si="100"/>
        <v>0</v>
      </c>
      <c r="J524" s="49">
        <f t="shared" si="98"/>
        <v>11327.2</v>
      </c>
      <c r="K524" s="62">
        <f t="shared" si="100"/>
        <v>0</v>
      </c>
      <c r="L524" s="49">
        <f t="shared" si="96"/>
        <v>11327.2</v>
      </c>
      <c r="M524" s="62">
        <f t="shared" si="100"/>
        <v>0</v>
      </c>
      <c r="N524" s="49">
        <f t="shared" si="89"/>
        <v>11327.2</v>
      </c>
    </row>
    <row r="525" spans="1:14" x14ac:dyDescent="0.2">
      <c r="A525" s="50" t="str">
        <f ca="1">IF(ISERROR(MATCH(C525,Код_Раздел,0)),"",INDIRECT(ADDRESS(MATCH(C525,Код_Раздел,0)+1,2,,,"Раздел")))</f>
        <v>Национальная экономика</v>
      </c>
      <c r="B525" s="79" t="s">
        <v>617</v>
      </c>
      <c r="C525" s="65" t="s">
        <v>73</v>
      </c>
      <c r="D525" s="46"/>
      <c r="E525" s="26"/>
      <c r="F525" s="62">
        <f t="shared" si="100"/>
        <v>4186.8</v>
      </c>
      <c r="G525" s="62">
        <f t="shared" si="100"/>
        <v>7140.4</v>
      </c>
      <c r="H525" s="49">
        <f t="shared" si="88"/>
        <v>11327.2</v>
      </c>
      <c r="I525" s="62">
        <f t="shared" si="100"/>
        <v>0</v>
      </c>
      <c r="J525" s="49">
        <f t="shared" si="98"/>
        <v>11327.2</v>
      </c>
      <c r="K525" s="62">
        <f t="shared" si="100"/>
        <v>0</v>
      </c>
      <c r="L525" s="49">
        <f t="shared" si="96"/>
        <v>11327.2</v>
      </c>
      <c r="M525" s="62">
        <f t="shared" si="100"/>
        <v>0</v>
      </c>
      <c r="N525" s="49">
        <f t="shared" si="89"/>
        <v>11327.2</v>
      </c>
    </row>
    <row r="526" spans="1:14" x14ac:dyDescent="0.2">
      <c r="A526" s="45" t="s">
        <v>80</v>
      </c>
      <c r="B526" s="79" t="s">
        <v>617</v>
      </c>
      <c r="C526" s="65" t="s">
        <v>73</v>
      </c>
      <c r="D526" s="65" t="s">
        <v>61</v>
      </c>
      <c r="E526" s="26"/>
      <c r="F526" s="62">
        <f t="shared" si="100"/>
        <v>4186.8</v>
      </c>
      <c r="G526" s="62">
        <f t="shared" si="100"/>
        <v>7140.4</v>
      </c>
      <c r="H526" s="49">
        <f t="shared" si="88"/>
        <v>11327.2</v>
      </c>
      <c r="I526" s="62">
        <f t="shared" si="100"/>
        <v>0</v>
      </c>
      <c r="J526" s="49">
        <f t="shared" si="98"/>
        <v>11327.2</v>
      </c>
      <c r="K526" s="62">
        <f t="shared" si="100"/>
        <v>0</v>
      </c>
      <c r="L526" s="49">
        <f t="shared" si="96"/>
        <v>11327.2</v>
      </c>
      <c r="M526" s="62">
        <f t="shared" si="100"/>
        <v>0</v>
      </c>
      <c r="N526" s="49">
        <f t="shared" si="89"/>
        <v>11327.2</v>
      </c>
    </row>
    <row r="527" spans="1:14" x14ac:dyDescent="0.2">
      <c r="A527" s="50" t="str">
        <f ca="1">IF(ISERROR(MATCH(E527,Код_КВР,0)),"",INDIRECT(ADDRESS(MATCH(E527,Код_КВР,0)+1,2,,,"КВР")))</f>
        <v>Иные бюджетные ассигнования</v>
      </c>
      <c r="B527" s="79" t="s">
        <v>617</v>
      </c>
      <c r="C527" s="65" t="s">
        <v>73</v>
      </c>
      <c r="D527" s="65" t="s">
        <v>61</v>
      </c>
      <c r="E527" s="26">
        <v>800</v>
      </c>
      <c r="F527" s="62">
        <f t="shared" si="100"/>
        <v>4186.8</v>
      </c>
      <c r="G527" s="62">
        <f t="shared" si="100"/>
        <v>7140.4</v>
      </c>
      <c r="H527" s="49">
        <f t="shared" si="88"/>
        <v>11327.2</v>
      </c>
      <c r="I527" s="62">
        <f t="shared" si="100"/>
        <v>0</v>
      </c>
      <c r="J527" s="49">
        <f t="shared" si="98"/>
        <v>11327.2</v>
      </c>
      <c r="K527" s="62">
        <f t="shared" si="100"/>
        <v>0</v>
      </c>
      <c r="L527" s="49">
        <f t="shared" si="96"/>
        <v>11327.2</v>
      </c>
      <c r="M527" s="62">
        <f t="shared" si="100"/>
        <v>0</v>
      </c>
      <c r="N527" s="49">
        <f t="shared" si="89"/>
        <v>11327.2</v>
      </c>
    </row>
    <row r="528" spans="1:14" ht="49.5" x14ac:dyDescent="0.2">
      <c r="A528" s="50" t="str">
        <f ca="1">IF(ISERROR(MATCH(E528,Код_КВР,0)),"",INDIRECT(ADDRESS(MATCH(E528,Код_КВР,0)+1,2,,,"КВР")))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528" s="79" t="s">
        <v>617</v>
      </c>
      <c r="C528" s="65" t="s">
        <v>73</v>
      </c>
      <c r="D528" s="65" t="s">
        <v>61</v>
      </c>
      <c r="E528" s="26">
        <v>810</v>
      </c>
      <c r="F528" s="62">
        <f>'прил. 8'!G248</f>
        <v>4186.8</v>
      </c>
      <c r="G528" s="62">
        <f>'прил. 8'!H248</f>
        <v>7140.4</v>
      </c>
      <c r="H528" s="49">
        <f t="shared" si="88"/>
        <v>11327.2</v>
      </c>
      <c r="I528" s="62">
        <f>'прил. 8'!J248</f>
        <v>0</v>
      </c>
      <c r="J528" s="49">
        <f t="shared" si="98"/>
        <v>11327.2</v>
      </c>
      <c r="K528" s="62">
        <f>'прил. 8'!L248</f>
        <v>0</v>
      </c>
      <c r="L528" s="49">
        <f t="shared" si="96"/>
        <v>11327.2</v>
      </c>
      <c r="M528" s="62">
        <f>'прил. 8'!N248</f>
        <v>0</v>
      </c>
      <c r="N528" s="49">
        <f t="shared" si="89"/>
        <v>11327.2</v>
      </c>
    </row>
    <row r="529" spans="1:14" ht="33" x14ac:dyDescent="0.2">
      <c r="A529" s="50" t="str">
        <f ca="1">IF(ISERROR(MATCH(B529,Код_КЦСР,0)),"",INDIRECT(ADDRESS(MATCH(B529,Код_КЦСР,0)+1,2,,,"КЦСР")))</f>
        <v>Муниципальная программа «Повышение инвестиционной привлекательности города Череповца» на 2015 – 2022 годы</v>
      </c>
      <c r="B529" s="79" t="s">
        <v>295</v>
      </c>
      <c r="C529" s="65"/>
      <c r="D529" s="46"/>
      <c r="E529" s="26"/>
      <c r="F529" s="62">
        <f>F530+F535+F540</f>
        <v>9433</v>
      </c>
      <c r="G529" s="62">
        <f>G530+G535+G540</f>
        <v>0</v>
      </c>
      <c r="H529" s="49">
        <f t="shared" si="88"/>
        <v>9433</v>
      </c>
      <c r="I529" s="62">
        <f>I530+I535+I540</f>
        <v>0</v>
      </c>
      <c r="J529" s="49">
        <f t="shared" si="98"/>
        <v>9433</v>
      </c>
      <c r="K529" s="62">
        <f>K530+K535+K540</f>
        <v>0</v>
      </c>
      <c r="L529" s="49">
        <f t="shared" si="96"/>
        <v>9433</v>
      </c>
      <c r="M529" s="62">
        <f>M530+M535+M540</f>
        <v>0</v>
      </c>
      <c r="N529" s="49">
        <f t="shared" si="89"/>
        <v>9433</v>
      </c>
    </row>
    <row r="530" spans="1:14" ht="33" x14ac:dyDescent="0.2">
      <c r="A530" s="50" t="str">
        <f ca="1">IF(ISERROR(MATCH(B530,Код_КЦСР,0)),"",INDIRECT(ADDRESS(MATCH(B530,Код_КЦСР,0)+1,2,,,"КЦСР")))</f>
        <v>Формирование инвестиционной инфраструктуры в муниципальном образовании «Город Череповец»</v>
      </c>
      <c r="B530" s="79" t="s">
        <v>296</v>
      </c>
      <c r="C530" s="65"/>
      <c r="D530" s="46"/>
      <c r="E530" s="26"/>
      <c r="F530" s="62">
        <f t="shared" ref="F530:M533" si="101">F531</f>
        <v>3939</v>
      </c>
      <c r="G530" s="62">
        <f t="shared" si="101"/>
        <v>0</v>
      </c>
      <c r="H530" s="49">
        <f t="shared" si="88"/>
        <v>3939</v>
      </c>
      <c r="I530" s="62">
        <f t="shared" si="101"/>
        <v>0</v>
      </c>
      <c r="J530" s="49">
        <f t="shared" si="98"/>
        <v>3939</v>
      </c>
      <c r="K530" s="62">
        <f t="shared" si="101"/>
        <v>0</v>
      </c>
      <c r="L530" s="49">
        <f t="shared" si="96"/>
        <v>3939</v>
      </c>
      <c r="M530" s="62">
        <f t="shared" si="101"/>
        <v>0</v>
      </c>
      <c r="N530" s="49">
        <f t="shared" ref="N530:N593" si="102">L530+M530</f>
        <v>3939</v>
      </c>
    </row>
    <row r="531" spans="1:14" x14ac:dyDescent="0.2">
      <c r="A531" s="50" t="str">
        <f ca="1">IF(ISERROR(MATCH(C531,Код_Раздел,0)),"",INDIRECT(ADDRESS(MATCH(C531,Код_Раздел,0)+1,2,,,"Раздел")))</f>
        <v>Национальная экономика</v>
      </c>
      <c r="B531" s="79" t="s">
        <v>296</v>
      </c>
      <c r="C531" s="65" t="s">
        <v>73</v>
      </c>
      <c r="D531" s="46"/>
      <c r="E531" s="26"/>
      <c r="F531" s="62">
        <f t="shared" si="101"/>
        <v>3939</v>
      </c>
      <c r="G531" s="62">
        <f t="shared" si="101"/>
        <v>0</v>
      </c>
      <c r="H531" s="49">
        <f t="shared" si="88"/>
        <v>3939</v>
      </c>
      <c r="I531" s="62">
        <f t="shared" si="101"/>
        <v>0</v>
      </c>
      <c r="J531" s="49">
        <f t="shared" si="98"/>
        <v>3939</v>
      </c>
      <c r="K531" s="62">
        <f t="shared" si="101"/>
        <v>0</v>
      </c>
      <c r="L531" s="49">
        <f t="shared" si="96"/>
        <v>3939</v>
      </c>
      <c r="M531" s="62">
        <f t="shared" si="101"/>
        <v>0</v>
      </c>
      <c r="N531" s="49">
        <f t="shared" si="102"/>
        <v>3939</v>
      </c>
    </row>
    <row r="532" spans="1:14" x14ac:dyDescent="0.2">
      <c r="A532" s="45" t="s">
        <v>80</v>
      </c>
      <c r="B532" s="79" t="s">
        <v>296</v>
      </c>
      <c r="C532" s="65" t="s">
        <v>73</v>
      </c>
      <c r="D532" s="65" t="s">
        <v>61</v>
      </c>
      <c r="E532" s="26"/>
      <c r="F532" s="62">
        <f t="shared" si="101"/>
        <v>3939</v>
      </c>
      <c r="G532" s="62">
        <f t="shared" si="101"/>
        <v>0</v>
      </c>
      <c r="H532" s="49">
        <f t="shared" si="88"/>
        <v>3939</v>
      </c>
      <c r="I532" s="62">
        <f t="shared" si="101"/>
        <v>0</v>
      </c>
      <c r="J532" s="49">
        <f t="shared" si="98"/>
        <v>3939</v>
      </c>
      <c r="K532" s="62">
        <f t="shared" si="101"/>
        <v>0</v>
      </c>
      <c r="L532" s="49">
        <f t="shared" si="96"/>
        <v>3939</v>
      </c>
      <c r="M532" s="62">
        <f t="shared" si="101"/>
        <v>0</v>
      </c>
      <c r="N532" s="49">
        <f t="shared" si="102"/>
        <v>3939</v>
      </c>
    </row>
    <row r="533" spans="1:14" ht="33" x14ac:dyDescent="0.2">
      <c r="A533" s="50" t="str">
        <f ca="1">IF(ISERROR(MATCH(E533,Код_КВР,0)),"",INDIRECT(ADDRESS(MATCH(E533,Код_КВР,0)+1,2,,,"КВР")))</f>
        <v>Предоставление субсидий бюджетным, автономным учреждениям и иным некоммерческим организациям</v>
      </c>
      <c r="B533" s="79" t="s">
        <v>296</v>
      </c>
      <c r="C533" s="65" t="s">
        <v>73</v>
      </c>
      <c r="D533" s="65" t="s">
        <v>61</v>
      </c>
      <c r="E533" s="26">
        <v>600</v>
      </c>
      <c r="F533" s="62">
        <f t="shared" si="101"/>
        <v>3939</v>
      </c>
      <c r="G533" s="62">
        <f t="shared" si="101"/>
        <v>0</v>
      </c>
      <c r="H533" s="49">
        <f t="shared" ref="H533:H596" si="103">F533+G533</f>
        <v>3939</v>
      </c>
      <c r="I533" s="62">
        <f t="shared" si="101"/>
        <v>0</v>
      </c>
      <c r="J533" s="49">
        <f t="shared" si="98"/>
        <v>3939</v>
      </c>
      <c r="K533" s="62">
        <f t="shared" si="101"/>
        <v>0</v>
      </c>
      <c r="L533" s="49">
        <f t="shared" si="96"/>
        <v>3939</v>
      </c>
      <c r="M533" s="62">
        <f t="shared" si="101"/>
        <v>0</v>
      </c>
      <c r="N533" s="49">
        <f t="shared" si="102"/>
        <v>3939</v>
      </c>
    </row>
    <row r="534" spans="1:14" ht="33" x14ac:dyDescent="0.2">
      <c r="A534" s="50" t="str">
        <f ca="1">IF(ISERROR(MATCH(E534,Код_КВР,0)),"",INDIRECT(ADDRESS(MATCH(E534,Код_КВР,0)+1,2,,,"КВР")))</f>
        <v>Субсидии некоммерческим организациям (за исключением государственных (муниципальных) учреждений)</v>
      </c>
      <c r="B534" s="79" t="s">
        <v>296</v>
      </c>
      <c r="C534" s="65" t="s">
        <v>73</v>
      </c>
      <c r="D534" s="65" t="s">
        <v>61</v>
      </c>
      <c r="E534" s="26">
        <v>630</v>
      </c>
      <c r="F534" s="62">
        <f>'прил. 8'!G252</f>
        <v>3939</v>
      </c>
      <c r="G534" s="62">
        <f>'прил. 8'!H252</f>
        <v>0</v>
      </c>
      <c r="H534" s="49">
        <f t="shared" si="103"/>
        <v>3939</v>
      </c>
      <c r="I534" s="62">
        <f>'прил. 8'!J252</f>
        <v>0</v>
      </c>
      <c r="J534" s="49">
        <f t="shared" si="98"/>
        <v>3939</v>
      </c>
      <c r="K534" s="62">
        <f>'прил. 8'!L252</f>
        <v>0</v>
      </c>
      <c r="L534" s="49">
        <f t="shared" si="96"/>
        <v>3939</v>
      </c>
      <c r="M534" s="62">
        <f>'прил. 8'!N252</f>
        <v>0</v>
      </c>
      <c r="N534" s="49">
        <f t="shared" si="102"/>
        <v>3939</v>
      </c>
    </row>
    <row r="535" spans="1:14" x14ac:dyDescent="0.2">
      <c r="A535" s="50" t="str">
        <f ca="1">IF(ISERROR(MATCH(B535,Код_КЦСР,0)),"",INDIRECT(ADDRESS(MATCH(B535,Код_КЦСР,0)+1,2,,,"КЦСР")))</f>
        <v>Комплексное сопровождение инвестиционных проектов</v>
      </c>
      <c r="B535" s="79" t="s">
        <v>297</v>
      </c>
      <c r="C535" s="65"/>
      <c r="D535" s="46"/>
      <c r="E535" s="26"/>
      <c r="F535" s="62">
        <f t="shared" ref="F535:M538" si="104">F536</f>
        <v>2036.7</v>
      </c>
      <c r="G535" s="62">
        <f t="shared" si="104"/>
        <v>0</v>
      </c>
      <c r="H535" s="49">
        <f t="shared" si="103"/>
        <v>2036.7</v>
      </c>
      <c r="I535" s="62">
        <f t="shared" si="104"/>
        <v>0</v>
      </c>
      <c r="J535" s="49">
        <f t="shared" si="98"/>
        <v>2036.7</v>
      </c>
      <c r="K535" s="62">
        <f t="shared" si="104"/>
        <v>0</v>
      </c>
      <c r="L535" s="49">
        <f t="shared" si="96"/>
        <v>2036.7</v>
      </c>
      <c r="M535" s="62">
        <f t="shared" si="104"/>
        <v>0</v>
      </c>
      <c r="N535" s="49">
        <f t="shared" si="102"/>
        <v>2036.7</v>
      </c>
    </row>
    <row r="536" spans="1:14" x14ac:dyDescent="0.2">
      <c r="A536" s="50" t="str">
        <f ca="1">IF(ISERROR(MATCH(C536,Код_Раздел,0)),"",INDIRECT(ADDRESS(MATCH(C536,Код_Раздел,0)+1,2,,,"Раздел")))</f>
        <v>Национальная экономика</v>
      </c>
      <c r="B536" s="79" t="s">
        <v>297</v>
      </c>
      <c r="C536" s="65" t="s">
        <v>73</v>
      </c>
      <c r="D536" s="46"/>
      <c r="E536" s="26"/>
      <c r="F536" s="62">
        <f t="shared" si="104"/>
        <v>2036.7</v>
      </c>
      <c r="G536" s="62">
        <f t="shared" si="104"/>
        <v>0</v>
      </c>
      <c r="H536" s="49">
        <f t="shared" si="103"/>
        <v>2036.7</v>
      </c>
      <c r="I536" s="62">
        <f t="shared" si="104"/>
        <v>0</v>
      </c>
      <c r="J536" s="49">
        <f t="shared" si="98"/>
        <v>2036.7</v>
      </c>
      <c r="K536" s="62">
        <f t="shared" si="104"/>
        <v>0</v>
      </c>
      <c r="L536" s="49">
        <f t="shared" si="96"/>
        <v>2036.7</v>
      </c>
      <c r="M536" s="62">
        <f t="shared" si="104"/>
        <v>0</v>
      </c>
      <c r="N536" s="49">
        <f t="shared" si="102"/>
        <v>2036.7</v>
      </c>
    </row>
    <row r="537" spans="1:14" x14ac:dyDescent="0.2">
      <c r="A537" s="45" t="s">
        <v>80</v>
      </c>
      <c r="B537" s="79" t="s">
        <v>297</v>
      </c>
      <c r="C537" s="65" t="s">
        <v>73</v>
      </c>
      <c r="D537" s="65" t="s">
        <v>61</v>
      </c>
      <c r="E537" s="26"/>
      <c r="F537" s="62">
        <f t="shared" si="104"/>
        <v>2036.7</v>
      </c>
      <c r="G537" s="62">
        <f t="shared" si="104"/>
        <v>0</v>
      </c>
      <c r="H537" s="49">
        <f t="shared" si="103"/>
        <v>2036.7</v>
      </c>
      <c r="I537" s="62">
        <f t="shared" si="104"/>
        <v>0</v>
      </c>
      <c r="J537" s="49">
        <f t="shared" si="98"/>
        <v>2036.7</v>
      </c>
      <c r="K537" s="62">
        <f t="shared" si="104"/>
        <v>0</v>
      </c>
      <c r="L537" s="49">
        <f t="shared" si="96"/>
        <v>2036.7</v>
      </c>
      <c r="M537" s="62">
        <f t="shared" si="104"/>
        <v>0</v>
      </c>
      <c r="N537" s="49">
        <f t="shared" si="102"/>
        <v>2036.7</v>
      </c>
    </row>
    <row r="538" spans="1:14" ht="33" x14ac:dyDescent="0.2">
      <c r="A538" s="50" t="str">
        <f ca="1">IF(ISERROR(MATCH(E538,Код_КВР,0)),"",INDIRECT(ADDRESS(MATCH(E538,Код_КВР,0)+1,2,,,"КВР")))</f>
        <v>Предоставление субсидий бюджетным, автономным учреждениям и иным некоммерческим организациям</v>
      </c>
      <c r="B538" s="79" t="s">
        <v>297</v>
      </c>
      <c r="C538" s="65" t="s">
        <v>73</v>
      </c>
      <c r="D538" s="65" t="s">
        <v>61</v>
      </c>
      <c r="E538" s="26">
        <v>600</v>
      </c>
      <c r="F538" s="62">
        <f t="shared" si="104"/>
        <v>2036.7</v>
      </c>
      <c r="G538" s="62">
        <f t="shared" si="104"/>
        <v>0</v>
      </c>
      <c r="H538" s="49">
        <f t="shared" si="103"/>
        <v>2036.7</v>
      </c>
      <c r="I538" s="62">
        <f t="shared" si="104"/>
        <v>0</v>
      </c>
      <c r="J538" s="49">
        <f t="shared" si="98"/>
        <v>2036.7</v>
      </c>
      <c r="K538" s="62">
        <f t="shared" si="104"/>
        <v>0</v>
      </c>
      <c r="L538" s="49">
        <f t="shared" si="96"/>
        <v>2036.7</v>
      </c>
      <c r="M538" s="62">
        <f t="shared" si="104"/>
        <v>0</v>
      </c>
      <c r="N538" s="49">
        <f t="shared" si="102"/>
        <v>2036.7</v>
      </c>
    </row>
    <row r="539" spans="1:14" ht="33" x14ac:dyDescent="0.2">
      <c r="A539" s="50" t="str">
        <f ca="1">IF(ISERROR(MATCH(E539,Код_КВР,0)),"",INDIRECT(ADDRESS(MATCH(E539,Код_КВР,0)+1,2,,,"КВР")))</f>
        <v>Субсидии некоммерческим организациям (за исключением государственных (муниципальных) учреждений)</v>
      </c>
      <c r="B539" s="79" t="s">
        <v>297</v>
      </c>
      <c r="C539" s="65" t="s">
        <v>73</v>
      </c>
      <c r="D539" s="65" t="s">
        <v>61</v>
      </c>
      <c r="E539" s="26">
        <v>630</v>
      </c>
      <c r="F539" s="62">
        <f>'прил. 8'!G255</f>
        <v>2036.7</v>
      </c>
      <c r="G539" s="62">
        <f>'прил. 8'!H255</f>
        <v>0</v>
      </c>
      <c r="H539" s="49">
        <f t="shared" si="103"/>
        <v>2036.7</v>
      </c>
      <c r="I539" s="62">
        <f>'прил. 8'!J255</f>
        <v>0</v>
      </c>
      <c r="J539" s="49">
        <f t="shared" si="98"/>
        <v>2036.7</v>
      </c>
      <c r="K539" s="62">
        <f>'прил. 8'!L255</f>
        <v>0</v>
      </c>
      <c r="L539" s="49">
        <f t="shared" si="96"/>
        <v>2036.7</v>
      </c>
      <c r="M539" s="62">
        <f>'прил. 8'!N255</f>
        <v>0</v>
      </c>
      <c r="N539" s="49">
        <f t="shared" si="102"/>
        <v>2036.7</v>
      </c>
    </row>
    <row r="540" spans="1:14" ht="33" x14ac:dyDescent="0.2">
      <c r="A540" s="50" t="str">
        <f ca="1">IF(ISERROR(MATCH(B540,Код_КЦСР,0)),"",INDIRECT(ADDRESS(MATCH(B540,Код_КЦСР,0)+1,2,,,"КЦСР")))</f>
        <v>Продвижение инвестиционных возможностей муниципального образования «Город Череповец»</v>
      </c>
      <c r="B540" s="79" t="s">
        <v>298</v>
      </c>
      <c r="C540" s="65"/>
      <c r="D540" s="46"/>
      <c r="E540" s="26"/>
      <c r="F540" s="62">
        <f t="shared" ref="F540:M543" si="105">F541</f>
        <v>3457.3</v>
      </c>
      <c r="G540" s="62">
        <f t="shared" si="105"/>
        <v>0</v>
      </c>
      <c r="H540" s="49">
        <f t="shared" si="103"/>
        <v>3457.3</v>
      </c>
      <c r="I540" s="62">
        <f t="shared" si="105"/>
        <v>0</v>
      </c>
      <c r="J540" s="49">
        <f t="shared" si="98"/>
        <v>3457.3</v>
      </c>
      <c r="K540" s="62">
        <f t="shared" si="105"/>
        <v>0</v>
      </c>
      <c r="L540" s="49">
        <f t="shared" si="96"/>
        <v>3457.3</v>
      </c>
      <c r="M540" s="62">
        <f t="shared" si="105"/>
        <v>0</v>
      </c>
      <c r="N540" s="49">
        <f t="shared" si="102"/>
        <v>3457.3</v>
      </c>
    </row>
    <row r="541" spans="1:14" x14ac:dyDescent="0.2">
      <c r="A541" s="50" t="str">
        <f ca="1">IF(ISERROR(MATCH(C541,Код_Раздел,0)),"",INDIRECT(ADDRESS(MATCH(C541,Код_Раздел,0)+1,2,,,"Раздел")))</f>
        <v>Национальная экономика</v>
      </c>
      <c r="B541" s="79" t="s">
        <v>298</v>
      </c>
      <c r="C541" s="65" t="s">
        <v>73</v>
      </c>
      <c r="D541" s="46"/>
      <c r="E541" s="26"/>
      <c r="F541" s="62">
        <f t="shared" si="105"/>
        <v>3457.3</v>
      </c>
      <c r="G541" s="62">
        <f t="shared" si="105"/>
        <v>0</v>
      </c>
      <c r="H541" s="49">
        <f t="shared" si="103"/>
        <v>3457.3</v>
      </c>
      <c r="I541" s="62">
        <f t="shared" si="105"/>
        <v>0</v>
      </c>
      <c r="J541" s="49">
        <f t="shared" si="98"/>
        <v>3457.3</v>
      </c>
      <c r="K541" s="62">
        <f t="shared" si="105"/>
        <v>0</v>
      </c>
      <c r="L541" s="49">
        <f t="shared" si="96"/>
        <v>3457.3</v>
      </c>
      <c r="M541" s="62">
        <f t="shared" si="105"/>
        <v>0</v>
      </c>
      <c r="N541" s="49">
        <f t="shared" si="102"/>
        <v>3457.3</v>
      </c>
    </row>
    <row r="542" spans="1:14" x14ac:dyDescent="0.2">
      <c r="A542" s="45" t="s">
        <v>80</v>
      </c>
      <c r="B542" s="79" t="s">
        <v>298</v>
      </c>
      <c r="C542" s="65" t="s">
        <v>73</v>
      </c>
      <c r="D542" s="65" t="s">
        <v>61</v>
      </c>
      <c r="E542" s="26"/>
      <c r="F542" s="62">
        <f t="shared" si="105"/>
        <v>3457.3</v>
      </c>
      <c r="G542" s="62">
        <f t="shared" si="105"/>
        <v>0</v>
      </c>
      <c r="H542" s="49">
        <f t="shared" si="103"/>
        <v>3457.3</v>
      </c>
      <c r="I542" s="62">
        <f t="shared" si="105"/>
        <v>0</v>
      </c>
      <c r="J542" s="49">
        <f t="shared" si="98"/>
        <v>3457.3</v>
      </c>
      <c r="K542" s="62">
        <f t="shared" si="105"/>
        <v>0</v>
      </c>
      <c r="L542" s="49">
        <f t="shared" si="96"/>
        <v>3457.3</v>
      </c>
      <c r="M542" s="62">
        <f t="shared" si="105"/>
        <v>0</v>
      </c>
      <c r="N542" s="49">
        <f t="shared" si="102"/>
        <v>3457.3</v>
      </c>
    </row>
    <row r="543" spans="1:14" ht="33" x14ac:dyDescent="0.2">
      <c r="A543" s="50" t="str">
        <f ca="1">IF(ISERROR(MATCH(E543,Код_КВР,0)),"",INDIRECT(ADDRESS(MATCH(E543,Код_КВР,0)+1,2,,,"КВР")))</f>
        <v>Предоставление субсидий бюджетным, автономным учреждениям и иным некоммерческим организациям</v>
      </c>
      <c r="B543" s="79" t="s">
        <v>298</v>
      </c>
      <c r="C543" s="65" t="s">
        <v>73</v>
      </c>
      <c r="D543" s="65" t="s">
        <v>61</v>
      </c>
      <c r="E543" s="26">
        <v>600</v>
      </c>
      <c r="F543" s="62">
        <f t="shared" si="105"/>
        <v>3457.3</v>
      </c>
      <c r="G543" s="62">
        <f t="shared" si="105"/>
        <v>0</v>
      </c>
      <c r="H543" s="49">
        <f t="shared" si="103"/>
        <v>3457.3</v>
      </c>
      <c r="I543" s="62">
        <f t="shared" si="105"/>
        <v>0</v>
      </c>
      <c r="J543" s="49">
        <f t="shared" si="98"/>
        <v>3457.3</v>
      </c>
      <c r="K543" s="62">
        <f t="shared" si="105"/>
        <v>0</v>
      </c>
      <c r="L543" s="49">
        <f t="shared" si="96"/>
        <v>3457.3</v>
      </c>
      <c r="M543" s="62">
        <f t="shared" si="105"/>
        <v>0</v>
      </c>
      <c r="N543" s="49">
        <f t="shared" si="102"/>
        <v>3457.3</v>
      </c>
    </row>
    <row r="544" spans="1:14" ht="33" x14ac:dyDescent="0.2">
      <c r="A544" s="50" t="str">
        <f ca="1">IF(ISERROR(MATCH(E544,Код_КВР,0)),"",INDIRECT(ADDRESS(MATCH(E544,Код_КВР,0)+1,2,,,"КВР")))</f>
        <v>Субсидии некоммерческим организациям (за исключением государственных (муниципальных) учреждений)</v>
      </c>
      <c r="B544" s="79" t="s">
        <v>298</v>
      </c>
      <c r="C544" s="65" t="s">
        <v>73</v>
      </c>
      <c r="D544" s="65" t="s">
        <v>61</v>
      </c>
      <c r="E544" s="26">
        <v>630</v>
      </c>
      <c r="F544" s="62">
        <f>'прил. 8'!G258</f>
        <v>3457.3</v>
      </c>
      <c r="G544" s="62">
        <f>'прил. 8'!H258</f>
        <v>0</v>
      </c>
      <c r="H544" s="49">
        <f t="shared" si="103"/>
        <v>3457.3</v>
      </c>
      <c r="I544" s="62">
        <f>'прил. 8'!J258</f>
        <v>0</v>
      </c>
      <c r="J544" s="49">
        <f t="shared" si="98"/>
        <v>3457.3</v>
      </c>
      <c r="K544" s="62">
        <f>'прил. 8'!L258</f>
        <v>0</v>
      </c>
      <c r="L544" s="49">
        <f t="shared" si="96"/>
        <v>3457.3</v>
      </c>
      <c r="M544" s="62">
        <f>'прил. 8'!N258</f>
        <v>0</v>
      </c>
      <c r="N544" s="49">
        <f t="shared" si="102"/>
        <v>3457.3</v>
      </c>
    </row>
    <row r="545" spans="1:14" ht="33" x14ac:dyDescent="0.2">
      <c r="A545" s="50" t="str">
        <f ca="1">IF(ISERROR(MATCH(B545,Код_КЦСР,0)),"",INDIRECT(ADDRESS(MATCH(B545,Код_КЦСР,0)+1,2,,,"КЦСР")))</f>
        <v>Муниципальная программа «Развитие молодежной политики» на 2013 – 2020 годы</v>
      </c>
      <c r="B545" s="79" t="s">
        <v>299</v>
      </c>
      <c r="C545" s="65"/>
      <c r="D545" s="46"/>
      <c r="E545" s="26"/>
      <c r="F545" s="62">
        <f>F546+F553+F558</f>
        <v>9283.6</v>
      </c>
      <c r="G545" s="62">
        <f>G546+G553+G558</f>
        <v>0</v>
      </c>
      <c r="H545" s="49">
        <f t="shared" si="103"/>
        <v>9283.6</v>
      </c>
      <c r="I545" s="62">
        <f>I546+I553+I558</f>
        <v>0</v>
      </c>
      <c r="J545" s="49">
        <f t="shared" si="98"/>
        <v>9283.6</v>
      </c>
      <c r="K545" s="62">
        <f>K546+K553+K558</f>
        <v>0</v>
      </c>
      <c r="L545" s="49">
        <f t="shared" si="96"/>
        <v>9283.6</v>
      </c>
      <c r="M545" s="62">
        <f>M546+M553+M558</f>
        <v>0</v>
      </c>
      <c r="N545" s="49">
        <f t="shared" si="102"/>
        <v>9283.6</v>
      </c>
    </row>
    <row r="546" spans="1:14" ht="33" x14ac:dyDescent="0.2">
      <c r="A546" s="50" t="str">
        <f ca="1">IF(ISERROR(MATCH(B546,Код_КЦСР,0)),"",INDIRECT(ADDRESS(MATCH(B546,Код_КЦСР,0)+1,2,,,"КЦСР")))</f>
        <v>Организация временного трудоустройства несовершеннолетних в возрасте от 14 до 18 лет в свободное от учебы время</v>
      </c>
      <c r="B546" s="79" t="s">
        <v>300</v>
      </c>
      <c r="C546" s="65"/>
      <c r="D546" s="46"/>
      <c r="E546" s="26"/>
      <c r="F546" s="62">
        <f t="shared" ref="F546:M549" si="106">F547</f>
        <v>1680.3</v>
      </c>
      <c r="G546" s="62">
        <f t="shared" si="106"/>
        <v>0</v>
      </c>
      <c r="H546" s="49">
        <f t="shared" si="103"/>
        <v>1680.3</v>
      </c>
      <c r="I546" s="62">
        <f t="shared" si="106"/>
        <v>0</v>
      </c>
      <c r="J546" s="49">
        <f t="shared" si="98"/>
        <v>1680.3</v>
      </c>
      <c r="K546" s="62">
        <f t="shared" si="106"/>
        <v>0</v>
      </c>
      <c r="L546" s="49">
        <f t="shared" si="96"/>
        <v>1680.3</v>
      </c>
      <c r="M546" s="62">
        <f t="shared" si="106"/>
        <v>0</v>
      </c>
      <c r="N546" s="49">
        <f t="shared" si="102"/>
        <v>1680.3</v>
      </c>
    </row>
    <row r="547" spans="1:14" x14ac:dyDescent="0.2">
      <c r="A547" s="50" t="str">
        <f ca="1">IF(ISERROR(MATCH(C547,Код_Раздел,0)),"",INDIRECT(ADDRESS(MATCH(C547,Код_Раздел,0)+1,2,,,"Раздел")))</f>
        <v>Национальная экономика</v>
      </c>
      <c r="B547" s="79" t="s">
        <v>300</v>
      </c>
      <c r="C547" s="65" t="s">
        <v>73</v>
      </c>
      <c r="D547" s="46"/>
      <c r="E547" s="26"/>
      <c r="F547" s="62">
        <f t="shared" si="106"/>
        <v>1680.3</v>
      </c>
      <c r="G547" s="62">
        <f t="shared" si="106"/>
        <v>0</v>
      </c>
      <c r="H547" s="49">
        <f t="shared" si="103"/>
        <v>1680.3</v>
      </c>
      <c r="I547" s="62">
        <f t="shared" si="106"/>
        <v>0</v>
      </c>
      <c r="J547" s="49">
        <f t="shared" si="98"/>
        <v>1680.3</v>
      </c>
      <c r="K547" s="62">
        <f t="shared" si="106"/>
        <v>0</v>
      </c>
      <c r="L547" s="49">
        <f t="shared" si="96"/>
        <v>1680.3</v>
      </c>
      <c r="M547" s="62">
        <f t="shared" si="106"/>
        <v>0</v>
      </c>
      <c r="N547" s="49">
        <f t="shared" si="102"/>
        <v>1680.3</v>
      </c>
    </row>
    <row r="548" spans="1:14" x14ac:dyDescent="0.2">
      <c r="A548" s="50" t="s">
        <v>65</v>
      </c>
      <c r="B548" s="79" t="s">
        <v>300</v>
      </c>
      <c r="C548" s="65" t="s">
        <v>73</v>
      </c>
      <c r="D548" s="46" t="s">
        <v>70</v>
      </c>
      <c r="E548" s="26"/>
      <c r="F548" s="62">
        <f>F549+F551</f>
        <v>1680.3</v>
      </c>
      <c r="G548" s="62">
        <f>G549+G551</f>
        <v>0</v>
      </c>
      <c r="H548" s="49">
        <f t="shared" si="103"/>
        <v>1680.3</v>
      </c>
      <c r="I548" s="62">
        <f>I549+I551</f>
        <v>0</v>
      </c>
      <c r="J548" s="49">
        <f t="shared" si="98"/>
        <v>1680.3</v>
      </c>
      <c r="K548" s="62">
        <f>K549+K551</f>
        <v>0</v>
      </c>
      <c r="L548" s="49">
        <f t="shared" si="96"/>
        <v>1680.3</v>
      </c>
      <c r="M548" s="62">
        <f>M549+M551</f>
        <v>0</v>
      </c>
      <c r="N548" s="49">
        <f t="shared" si="102"/>
        <v>1680.3</v>
      </c>
    </row>
    <row r="549" spans="1:14" ht="49.5" x14ac:dyDescent="0.2">
      <c r="A549" s="50" t="str">
        <f ca="1">IF(ISERROR(MATCH(E549,Код_КВР,0)),"",INDIRECT(ADDRESS(MATCH(E549,Код_КВР,0)+1,2,,,"КВР")))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9" s="79" t="s">
        <v>300</v>
      </c>
      <c r="C549" s="65" t="s">
        <v>73</v>
      </c>
      <c r="D549" s="46" t="s">
        <v>70</v>
      </c>
      <c r="E549" s="26">
        <v>100</v>
      </c>
      <c r="F549" s="62">
        <f t="shared" si="106"/>
        <v>1680.3</v>
      </c>
      <c r="G549" s="62">
        <f t="shared" si="106"/>
        <v>0</v>
      </c>
      <c r="H549" s="49">
        <f t="shared" si="103"/>
        <v>1680.3</v>
      </c>
      <c r="I549" s="62">
        <f t="shared" si="106"/>
        <v>0</v>
      </c>
      <c r="J549" s="49">
        <f t="shared" si="98"/>
        <v>1680.3</v>
      </c>
      <c r="K549" s="62">
        <f t="shared" si="106"/>
        <v>0</v>
      </c>
      <c r="L549" s="49">
        <f t="shared" si="96"/>
        <v>1680.3</v>
      </c>
      <c r="M549" s="62">
        <f t="shared" si="106"/>
        <v>0</v>
      </c>
      <c r="N549" s="49">
        <f t="shared" si="102"/>
        <v>1680.3</v>
      </c>
    </row>
    <row r="550" spans="1:14" x14ac:dyDescent="0.2">
      <c r="A550" s="50" t="str">
        <f ca="1">IF(ISERROR(MATCH(E550,Код_КВР,0)),"",INDIRECT(ADDRESS(MATCH(E550,Код_КВР,0)+1,2,,,"КВР")))</f>
        <v>Расходы на выплаты персоналу казенных учреждений</v>
      </c>
      <c r="B550" s="79" t="s">
        <v>300</v>
      </c>
      <c r="C550" s="65" t="s">
        <v>73</v>
      </c>
      <c r="D550" s="46" t="s">
        <v>70</v>
      </c>
      <c r="E550" s="26">
        <v>110</v>
      </c>
      <c r="F550" s="62">
        <f>'прил. 8'!G191</f>
        <v>1680.3</v>
      </c>
      <c r="G550" s="62">
        <f>'прил. 8'!H191</f>
        <v>0</v>
      </c>
      <c r="H550" s="49">
        <f t="shared" si="103"/>
        <v>1680.3</v>
      </c>
      <c r="I550" s="62">
        <f>'прил. 8'!J191</f>
        <v>0</v>
      </c>
      <c r="J550" s="49">
        <f t="shared" si="98"/>
        <v>1680.3</v>
      </c>
      <c r="K550" s="62">
        <f>'прил. 8'!L191</f>
        <v>0</v>
      </c>
      <c r="L550" s="49">
        <f t="shared" si="96"/>
        <v>1680.3</v>
      </c>
      <c r="M550" s="62">
        <f>'прил. 8'!N191</f>
        <v>0</v>
      </c>
      <c r="N550" s="49">
        <f t="shared" si="102"/>
        <v>1680.3</v>
      </c>
    </row>
    <row r="551" spans="1:14" ht="33" hidden="1" x14ac:dyDescent="0.2">
      <c r="A551" s="50" t="str">
        <f ca="1">IF(ISERROR(MATCH(E551,Код_КВР,0)),"",INDIRECT(ADDRESS(MATCH(E551,Код_КВР,0)+1,2,,,"КВР")))</f>
        <v>Закупка товаров, работ и услуг для обеспечения государственных (муниципальных) нужд</v>
      </c>
      <c r="B551" s="79" t="s">
        <v>300</v>
      </c>
      <c r="C551" s="65" t="s">
        <v>73</v>
      </c>
      <c r="D551" s="46" t="s">
        <v>70</v>
      </c>
      <c r="E551" s="26">
        <v>200</v>
      </c>
      <c r="F551" s="62">
        <f>F552</f>
        <v>0</v>
      </c>
      <c r="G551" s="62">
        <f>G552</f>
        <v>0</v>
      </c>
      <c r="H551" s="49">
        <f t="shared" si="103"/>
        <v>0</v>
      </c>
      <c r="I551" s="62">
        <f>I552</f>
        <v>0</v>
      </c>
      <c r="J551" s="49">
        <f t="shared" si="98"/>
        <v>0</v>
      </c>
      <c r="K551" s="62">
        <f>K552</f>
        <v>0</v>
      </c>
      <c r="L551" s="49">
        <f t="shared" si="96"/>
        <v>0</v>
      </c>
      <c r="M551" s="62">
        <f>M552</f>
        <v>0</v>
      </c>
      <c r="N551" s="49">
        <f t="shared" si="102"/>
        <v>0</v>
      </c>
    </row>
    <row r="552" spans="1:14" ht="33" hidden="1" x14ac:dyDescent="0.2">
      <c r="A552" s="50" t="str">
        <f ca="1">IF(ISERROR(MATCH(E552,Код_КВР,0)),"",INDIRECT(ADDRESS(MATCH(E552,Код_КВР,0)+1,2,,,"КВР")))</f>
        <v>Иные закупки товаров, работ и услуг для обеспечения государственных (муниципальных) нужд</v>
      </c>
      <c r="B552" s="79" t="s">
        <v>300</v>
      </c>
      <c r="C552" s="65" t="s">
        <v>73</v>
      </c>
      <c r="D552" s="46" t="s">
        <v>70</v>
      </c>
      <c r="E552" s="26">
        <v>240</v>
      </c>
      <c r="F552" s="62">
        <f>'прил. 8'!G193</f>
        <v>0</v>
      </c>
      <c r="G552" s="62">
        <f>'прил. 8'!H193</f>
        <v>0</v>
      </c>
      <c r="H552" s="49">
        <f t="shared" si="103"/>
        <v>0</v>
      </c>
      <c r="I552" s="62">
        <f>'прил. 8'!J193</f>
        <v>0</v>
      </c>
      <c r="J552" s="49">
        <f t="shared" si="98"/>
        <v>0</v>
      </c>
      <c r="K552" s="62">
        <f>'прил. 8'!L193</f>
        <v>0</v>
      </c>
      <c r="L552" s="49">
        <f t="shared" si="96"/>
        <v>0</v>
      </c>
      <c r="M552" s="62">
        <f>'прил. 8'!N193</f>
        <v>0</v>
      </c>
      <c r="N552" s="49">
        <f t="shared" si="102"/>
        <v>0</v>
      </c>
    </row>
    <row r="553" spans="1:14" ht="33" x14ac:dyDescent="0.2">
      <c r="A553" s="50" t="str">
        <f ca="1">IF(ISERROR(MATCH(B553,Код_КЦСР,0)),"",INDIRECT(ADDRESS(MATCH(B553,Код_КЦСР,0)+1,2,,,"КЦСР")))</f>
        <v>Организация и проведение мероприятий с детьми и молодежью, за счет средств городского бюджета</v>
      </c>
      <c r="B553" s="79" t="s">
        <v>301</v>
      </c>
      <c r="C553" s="65"/>
      <c r="D553" s="46"/>
      <c r="E553" s="26"/>
      <c r="F553" s="62">
        <f>F554</f>
        <v>844.8</v>
      </c>
      <c r="G553" s="62">
        <f>G554</f>
        <v>0</v>
      </c>
      <c r="H553" s="49">
        <f t="shared" si="103"/>
        <v>844.8</v>
      </c>
      <c r="I553" s="62">
        <f>I554</f>
        <v>0</v>
      </c>
      <c r="J553" s="49">
        <f t="shared" si="98"/>
        <v>844.8</v>
      </c>
      <c r="K553" s="62">
        <f>K554</f>
        <v>0</v>
      </c>
      <c r="L553" s="49">
        <f t="shared" si="96"/>
        <v>844.8</v>
      </c>
      <c r="M553" s="62">
        <f>M554</f>
        <v>0</v>
      </c>
      <c r="N553" s="49">
        <f t="shared" si="102"/>
        <v>844.8</v>
      </c>
    </row>
    <row r="554" spans="1:14" x14ac:dyDescent="0.2">
      <c r="A554" s="50" t="str">
        <f ca="1">IF(ISERROR(MATCH(C554,Код_Раздел,0)),"",INDIRECT(ADDRESS(MATCH(C554,Код_Раздел,0)+1,2,,,"Раздел")))</f>
        <v>Образование</v>
      </c>
      <c r="B554" s="79" t="s">
        <v>301</v>
      </c>
      <c r="C554" s="65" t="s">
        <v>60</v>
      </c>
      <c r="D554" s="46"/>
      <c r="E554" s="26"/>
      <c r="F554" s="62">
        <f t="shared" ref="F554:M556" si="107">F555</f>
        <v>844.8</v>
      </c>
      <c r="G554" s="62">
        <f t="shared" si="107"/>
        <v>0</v>
      </c>
      <c r="H554" s="49">
        <f t="shared" si="103"/>
        <v>844.8</v>
      </c>
      <c r="I554" s="62">
        <f t="shared" si="107"/>
        <v>0</v>
      </c>
      <c r="J554" s="49">
        <f t="shared" si="98"/>
        <v>844.8</v>
      </c>
      <c r="K554" s="62">
        <f t="shared" si="107"/>
        <v>0</v>
      </c>
      <c r="L554" s="49">
        <f t="shared" si="96"/>
        <v>844.8</v>
      </c>
      <c r="M554" s="62">
        <f t="shared" si="107"/>
        <v>0</v>
      </c>
      <c r="N554" s="49">
        <f t="shared" si="102"/>
        <v>844.8</v>
      </c>
    </row>
    <row r="555" spans="1:14" x14ac:dyDescent="0.2">
      <c r="A555" s="45" t="s">
        <v>464</v>
      </c>
      <c r="B555" s="79" t="s">
        <v>301</v>
      </c>
      <c r="C555" s="65" t="s">
        <v>60</v>
      </c>
      <c r="D555" s="46" t="s">
        <v>60</v>
      </c>
      <c r="E555" s="26"/>
      <c r="F555" s="62">
        <f t="shared" si="107"/>
        <v>844.8</v>
      </c>
      <c r="G555" s="62">
        <f t="shared" si="107"/>
        <v>0</v>
      </c>
      <c r="H555" s="49">
        <f t="shared" si="103"/>
        <v>844.8</v>
      </c>
      <c r="I555" s="62">
        <f t="shared" si="107"/>
        <v>0</v>
      </c>
      <c r="J555" s="49">
        <f t="shared" si="98"/>
        <v>844.8</v>
      </c>
      <c r="K555" s="62">
        <f t="shared" si="107"/>
        <v>0</v>
      </c>
      <c r="L555" s="49">
        <f t="shared" si="96"/>
        <v>844.8</v>
      </c>
      <c r="M555" s="62">
        <f t="shared" si="107"/>
        <v>0</v>
      </c>
      <c r="N555" s="49">
        <f t="shared" si="102"/>
        <v>844.8</v>
      </c>
    </row>
    <row r="556" spans="1:14" ht="33" x14ac:dyDescent="0.2">
      <c r="A556" s="50" t="str">
        <f ca="1">IF(ISERROR(MATCH(E556,Код_КВР,0)),"",INDIRECT(ADDRESS(MATCH(E556,Код_КВР,0)+1,2,,,"КВР")))</f>
        <v>Закупка товаров, работ и услуг для обеспечения государственных (муниципальных) нужд</v>
      </c>
      <c r="B556" s="79" t="s">
        <v>301</v>
      </c>
      <c r="C556" s="65" t="s">
        <v>60</v>
      </c>
      <c r="D556" s="46" t="s">
        <v>60</v>
      </c>
      <c r="E556" s="26">
        <v>200</v>
      </c>
      <c r="F556" s="62">
        <f t="shared" si="107"/>
        <v>844.8</v>
      </c>
      <c r="G556" s="62">
        <f t="shared" si="107"/>
        <v>0</v>
      </c>
      <c r="H556" s="49">
        <f t="shared" si="103"/>
        <v>844.8</v>
      </c>
      <c r="I556" s="62">
        <f t="shared" si="107"/>
        <v>0</v>
      </c>
      <c r="J556" s="49">
        <f t="shared" si="98"/>
        <v>844.8</v>
      </c>
      <c r="K556" s="62">
        <f t="shared" si="107"/>
        <v>0</v>
      </c>
      <c r="L556" s="49">
        <f t="shared" si="96"/>
        <v>844.8</v>
      </c>
      <c r="M556" s="62">
        <f t="shared" si="107"/>
        <v>0</v>
      </c>
      <c r="N556" s="49">
        <f t="shared" si="102"/>
        <v>844.8</v>
      </c>
    </row>
    <row r="557" spans="1:14" ht="44.25" customHeight="1" x14ac:dyDescent="0.2">
      <c r="A557" s="50" t="str">
        <f ca="1">IF(ISERROR(MATCH(E557,Код_КВР,0)),"",INDIRECT(ADDRESS(MATCH(E557,Код_КВР,0)+1,2,,,"КВР")))</f>
        <v>Иные закупки товаров, работ и услуг для обеспечения государственных (муниципальных) нужд</v>
      </c>
      <c r="B557" s="79" t="s">
        <v>301</v>
      </c>
      <c r="C557" s="65" t="s">
        <v>60</v>
      </c>
      <c r="D557" s="46" t="s">
        <v>60</v>
      </c>
      <c r="E557" s="26">
        <v>240</v>
      </c>
      <c r="F557" s="62">
        <f>'прил. 8'!G338</f>
        <v>844.8</v>
      </c>
      <c r="G557" s="62">
        <f>'прил. 8'!H338</f>
        <v>0</v>
      </c>
      <c r="H557" s="49">
        <f t="shared" si="103"/>
        <v>844.8</v>
      </c>
      <c r="I557" s="62">
        <f>'прил. 8'!J338</f>
        <v>0</v>
      </c>
      <c r="J557" s="49">
        <f t="shared" si="98"/>
        <v>844.8</v>
      </c>
      <c r="K557" s="62">
        <f>'прил. 8'!L338</f>
        <v>0</v>
      </c>
      <c r="L557" s="49">
        <f t="shared" si="96"/>
        <v>844.8</v>
      </c>
      <c r="M557" s="62">
        <f>'прил. 8'!N338</f>
        <v>0</v>
      </c>
      <c r="N557" s="49">
        <f t="shared" si="102"/>
        <v>844.8</v>
      </c>
    </row>
    <row r="558" spans="1:14" ht="66" x14ac:dyDescent="0.2">
      <c r="A558" s="50" t="str">
        <f ca="1">IF(ISERROR(MATCH(B558,Код_КЦСР,0)),"",INDIRECT(ADDRESS(MATCH(B558,Код_КЦСР,0)+1,2,,,"КЦСР")))</f>
        <v>Организация и проведение мероприятий с детьми и молодежью, организация поддержки детских и молодежных общественных объединений, в рамках текущей деятельности муниципального казенного учреждения «Череповецкий молодежный центр»</v>
      </c>
      <c r="B558" s="79" t="s">
        <v>302</v>
      </c>
      <c r="C558" s="65"/>
      <c r="D558" s="46"/>
      <c r="E558" s="26"/>
      <c r="F558" s="62">
        <f t="shared" ref="F558:M564" si="108">F559</f>
        <v>6758.5</v>
      </c>
      <c r="G558" s="62">
        <f t="shared" si="108"/>
        <v>0</v>
      </c>
      <c r="H558" s="49">
        <f t="shared" si="103"/>
        <v>6758.5</v>
      </c>
      <c r="I558" s="62">
        <f t="shared" si="108"/>
        <v>0</v>
      </c>
      <c r="J558" s="49">
        <f t="shared" si="98"/>
        <v>6758.5</v>
      </c>
      <c r="K558" s="62">
        <f t="shared" si="108"/>
        <v>0</v>
      </c>
      <c r="L558" s="49">
        <f t="shared" si="96"/>
        <v>6758.5</v>
      </c>
      <c r="M558" s="62">
        <f t="shared" si="108"/>
        <v>0</v>
      </c>
      <c r="N558" s="49">
        <f t="shared" si="102"/>
        <v>6758.5</v>
      </c>
    </row>
    <row r="559" spans="1:14" x14ac:dyDescent="0.2">
      <c r="A559" s="50" t="str">
        <f ca="1">IF(ISERROR(MATCH(C559,Код_Раздел,0)),"",INDIRECT(ADDRESS(MATCH(C559,Код_Раздел,0)+1,2,,,"Раздел")))</f>
        <v>Образование</v>
      </c>
      <c r="B559" s="79" t="s">
        <v>302</v>
      </c>
      <c r="C559" s="65" t="s">
        <v>60</v>
      </c>
      <c r="D559" s="46"/>
      <c r="E559" s="26"/>
      <c r="F559" s="62">
        <f>F560+F563</f>
        <v>6758.5</v>
      </c>
      <c r="G559" s="62">
        <f>G560+G563</f>
        <v>0</v>
      </c>
      <c r="H559" s="49">
        <f t="shared" si="103"/>
        <v>6758.5</v>
      </c>
      <c r="I559" s="62">
        <f>I560+I563</f>
        <v>0</v>
      </c>
      <c r="J559" s="49">
        <f t="shared" si="98"/>
        <v>6758.5</v>
      </c>
      <c r="K559" s="62">
        <f>K560+K563</f>
        <v>0</v>
      </c>
      <c r="L559" s="49">
        <f t="shared" si="96"/>
        <v>6758.5</v>
      </c>
      <c r="M559" s="62">
        <f>M560+M563</f>
        <v>0</v>
      </c>
      <c r="N559" s="49">
        <f t="shared" si="102"/>
        <v>6758.5</v>
      </c>
    </row>
    <row r="560" spans="1:14" ht="30.75" customHeight="1" x14ac:dyDescent="0.2">
      <c r="A560" s="45" t="s">
        <v>532</v>
      </c>
      <c r="B560" s="79" t="s">
        <v>302</v>
      </c>
      <c r="C560" s="65" t="s">
        <v>60</v>
      </c>
      <c r="D560" s="46" t="s">
        <v>78</v>
      </c>
      <c r="E560" s="26"/>
      <c r="F560" s="62">
        <f>F561</f>
        <v>37.799999999999997</v>
      </c>
      <c r="G560" s="62">
        <f>G561</f>
        <v>0</v>
      </c>
      <c r="H560" s="49">
        <f t="shared" si="103"/>
        <v>37.799999999999997</v>
      </c>
      <c r="I560" s="62">
        <f>I561</f>
        <v>0</v>
      </c>
      <c r="J560" s="49">
        <f t="shared" si="98"/>
        <v>37.799999999999997</v>
      </c>
      <c r="K560" s="62">
        <f>K561</f>
        <v>0</v>
      </c>
      <c r="L560" s="49">
        <f t="shared" si="96"/>
        <v>37.799999999999997</v>
      </c>
      <c r="M560" s="62">
        <f>M561</f>
        <v>0</v>
      </c>
      <c r="N560" s="49">
        <f t="shared" si="102"/>
        <v>37.799999999999997</v>
      </c>
    </row>
    <row r="561" spans="1:14" ht="33" x14ac:dyDescent="0.2">
      <c r="A561" s="50" t="str">
        <f t="shared" ref="A561:A562" ca="1" si="109">IF(ISERROR(MATCH(E561,Код_КВР,0)),"",INDIRECT(ADDRESS(MATCH(E561,Код_КВР,0)+1,2,,,"КВР")))</f>
        <v>Закупка товаров, работ и услуг для обеспечения государственных (муниципальных) нужд</v>
      </c>
      <c r="B561" s="79" t="s">
        <v>302</v>
      </c>
      <c r="C561" s="65" t="s">
        <v>60</v>
      </c>
      <c r="D561" s="46" t="s">
        <v>78</v>
      </c>
      <c r="E561" s="26">
        <v>200</v>
      </c>
      <c r="F561" s="62">
        <f>F562</f>
        <v>37.799999999999997</v>
      </c>
      <c r="G561" s="62">
        <f>G562</f>
        <v>0</v>
      </c>
      <c r="H561" s="49">
        <f t="shared" si="103"/>
        <v>37.799999999999997</v>
      </c>
      <c r="I561" s="62">
        <f>I562</f>
        <v>0</v>
      </c>
      <c r="J561" s="49">
        <f t="shared" si="98"/>
        <v>37.799999999999997</v>
      </c>
      <c r="K561" s="62">
        <f>K562</f>
        <v>0</v>
      </c>
      <c r="L561" s="49">
        <f t="shared" si="96"/>
        <v>37.799999999999997</v>
      </c>
      <c r="M561" s="62">
        <f>M562</f>
        <v>0</v>
      </c>
      <c r="N561" s="49">
        <f t="shared" si="102"/>
        <v>37.799999999999997</v>
      </c>
    </row>
    <row r="562" spans="1:14" ht="33" x14ac:dyDescent="0.2">
      <c r="A562" s="50" t="str">
        <f t="shared" ca="1" si="109"/>
        <v>Иные закупки товаров, работ и услуг для обеспечения государственных (муниципальных) нужд</v>
      </c>
      <c r="B562" s="79" t="s">
        <v>302</v>
      </c>
      <c r="C562" s="65" t="s">
        <v>60</v>
      </c>
      <c r="D562" s="46" t="s">
        <v>78</v>
      </c>
      <c r="E562" s="26">
        <v>240</v>
      </c>
      <c r="F562" s="62">
        <f>'прил. 8'!G291</f>
        <v>37.799999999999997</v>
      </c>
      <c r="G562" s="62">
        <f>'прил. 8'!H291</f>
        <v>0</v>
      </c>
      <c r="H562" s="49">
        <f t="shared" si="103"/>
        <v>37.799999999999997</v>
      </c>
      <c r="I562" s="62">
        <f>'прил. 8'!J291</f>
        <v>0</v>
      </c>
      <c r="J562" s="49">
        <f t="shared" si="98"/>
        <v>37.799999999999997</v>
      </c>
      <c r="K562" s="62">
        <f>'прил. 8'!L291</f>
        <v>0</v>
      </c>
      <c r="L562" s="49">
        <f t="shared" si="96"/>
        <v>37.799999999999997</v>
      </c>
      <c r="M562" s="62">
        <f>'прил. 8'!N291</f>
        <v>0</v>
      </c>
      <c r="N562" s="49">
        <f t="shared" si="102"/>
        <v>37.799999999999997</v>
      </c>
    </row>
    <row r="563" spans="1:14" x14ac:dyDescent="0.2">
      <c r="A563" s="45" t="s">
        <v>464</v>
      </c>
      <c r="B563" s="79" t="s">
        <v>302</v>
      </c>
      <c r="C563" s="65" t="s">
        <v>60</v>
      </c>
      <c r="D563" s="46" t="s">
        <v>60</v>
      </c>
      <c r="E563" s="26"/>
      <c r="F563" s="62">
        <f>F564+F566+F568</f>
        <v>6720.7</v>
      </c>
      <c r="G563" s="62">
        <f>G564+G566+G568</f>
        <v>0</v>
      </c>
      <c r="H563" s="49">
        <f t="shared" si="103"/>
        <v>6720.7</v>
      </c>
      <c r="I563" s="62">
        <f>I564+I566+I568</f>
        <v>0</v>
      </c>
      <c r="J563" s="49">
        <f t="shared" si="98"/>
        <v>6720.7</v>
      </c>
      <c r="K563" s="62">
        <f>K564+K566+K568</f>
        <v>0</v>
      </c>
      <c r="L563" s="49">
        <f t="shared" ref="L563:L649" si="110">J563+K563</f>
        <v>6720.7</v>
      </c>
      <c r="M563" s="62">
        <f>M564+M566+M568</f>
        <v>0</v>
      </c>
      <c r="N563" s="49">
        <f t="shared" si="102"/>
        <v>6720.7</v>
      </c>
    </row>
    <row r="564" spans="1:14" ht="49.5" x14ac:dyDescent="0.2">
      <c r="A564" s="80" t="str">
        <f t="shared" ref="A564:A569" ca="1" si="111">IF(ISERROR(MATCH(E564,Код_КВР,0)),"",INDIRECT(ADDRESS(MATCH(E564,Код_КВР,0)+1,2,,,"КВР")))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4" s="79" t="s">
        <v>302</v>
      </c>
      <c r="C564" s="65" t="s">
        <v>60</v>
      </c>
      <c r="D564" s="46" t="s">
        <v>60</v>
      </c>
      <c r="E564" s="26">
        <v>100</v>
      </c>
      <c r="F564" s="62">
        <f t="shared" si="108"/>
        <v>5289.1</v>
      </c>
      <c r="G564" s="62">
        <f t="shared" si="108"/>
        <v>0</v>
      </c>
      <c r="H564" s="49">
        <f t="shared" si="103"/>
        <v>5289.1</v>
      </c>
      <c r="I564" s="62">
        <f t="shared" si="108"/>
        <v>0</v>
      </c>
      <c r="J564" s="49">
        <f t="shared" si="98"/>
        <v>5289.1</v>
      </c>
      <c r="K564" s="62">
        <f t="shared" si="108"/>
        <v>0</v>
      </c>
      <c r="L564" s="49">
        <f t="shared" si="110"/>
        <v>5289.1</v>
      </c>
      <c r="M564" s="62">
        <f t="shared" si="108"/>
        <v>0</v>
      </c>
      <c r="N564" s="49">
        <f t="shared" si="102"/>
        <v>5289.1</v>
      </c>
    </row>
    <row r="565" spans="1:14" x14ac:dyDescent="0.2">
      <c r="A565" s="50" t="str">
        <f t="shared" ca="1" si="111"/>
        <v>Расходы на выплаты персоналу казенных учреждений</v>
      </c>
      <c r="B565" s="79" t="s">
        <v>302</v>
      </c>
      <c r="C565" s="65" t="s">
        <v>60</v>
      </c>
      <c r="D565" s="46" t="s">
        <v>60</v>
      </c>
      <c r="E565" s="26">
        <v>110</v>
      </c>
      <c r="F565" s="62">
        <f>'прил. 8'!G341</f>
        <v>5289.1</v>
      </c>
      <c r="G565" s="62">
        <f>'прил. 8'!H341</f>
        <v>0</v>
      </c>
      <c r="H565" s="49">
        <f t="shared" si="103"/>
        <v>5289.1</v>
      </c>
      <c r="I565" s="62">
        <f>'прил. 8'!J341</f>
        <v>0</v>
      </c>
      <c r="J565" s="49">
        <f t="shared" si="98"/>
        <v>5289.1</v>
      </c>
      <c r="K565" s="62">
        <f>'прил. 8'!L341</f>
        <v>0</v>
      </c>
      <c r="L565" s="49">
        <f t="shared" si="110"/>
        <v>5289.1</v>
      </c>
      <c r="M565" s="62">
        <f>'прил. 8'!N341</f>
        <v>0</v>
      </c>
      <c r="N565" s="49">
        <f t="shared" si="102"/>
        <v>5289.1</v>
      </c>
    </row>
    <row r="566" spans="1:14" ht="33" x14ac:dyDescent="0.2">
      <c r="A566" s="50" t="str">
        <f t="shared" ca="1" si="111"/>
        <v>Закупка товаров, работ и услуг для обеспечения государственных (муниципальных) нужд</v>
      </c>
      <c r="B566" s="79" t="s">
        <v>302</v>
      </c>
      <c r="C566" s="65" t="s">
        <v>60</v>
      </c>
      <c r="D566" s="46" t="s">
        <v>60</v>
      </c>
      <c r="E566" s="26">
        <v>200</v>
      </c>
      <c r="F566" s="62">
        <f>F567</f>
        <v>1021.2</v>
      </c>
      <c r="G566" s="62">
        <f>G567</f>
        <v>0</v>
      </c>
      <c r="H566" s="49">
        <f t="shared" si="103"/>
        <v>1021.2</v>
      </c>
      <c r="I566" s="62">
        <f>I567</f>
        <v>0</v>
      </c>
      <c r="J566" s="49">
        <f t="shared" si="98"/>
        <v>1021.2</v>
      </c>
      <c r="K566" s="62">
        <f>K567</f>
        <v>0</v>
      </c>
      <c r="L566" s="49">
        <f t="shared" si="110"/>
        <v>1021.2</v>
      </c>
      <c r="M566" s="62">
        <f>M567</f>
        <v>0</v>
      </c>
      <c r="N566" s="49">
        <f t="shared" si="102"/>
        <v>1021.2</v>
      </c>
    </row>
    <row r="567" spans="1:14" ht="33" x14ac:dyDescent="0.2">
      <c r="A567" s="50" t="str">
        <f t="shared" ca="1" si="111"/>
        <v>Иные закупки товаров, работ и услуг для обеспечения государственных (муниципальных) нужд</v>
      </c>
      <c r="B567" s="79" t="s">
        <v>302</v>
      </c>
      <c r="C567" s="65" t="s">
        <v>60</v>
      </c>
      <c r="D567" s="46" t="s">
        <v>60</v>
      </c>
      <c r="E567" s="26">
        <v>240</v>
      </c>
      <c r="F567" s="62">
        <f>'прил. 8'!G343</f>
        <v>1021.2</v>
      </c>
      <c r="G567" s="62">
        <f>'прил. 8'!H343</f>
        <v>0</v>
      </c>
      <c r="H567" s="49">
        <f t="shared" si="103"/>
        <v>1021.2</v>
      </c>
      <c r="I567" s="62">
        <f>'прил. 8'!J343</f>
        <v>0</v>
      </c>
      <c r="J567" s="49">
        <f t="shared" si="98"/>
        <v>1021.2</v>
      </c>
      <c r="K567" s="62">
        <f>'прил. 8'!L343</f>
        <v>0</v>
      </c>
      <c r="L567" s="49">
        <f t="shared" si="110"/>
        <v>1021.2</v>
      </c>
      <c r="M567" s="62">
        <f>'прил. 8'!N343</f>
        <v>0</v>
      </c>
      <c r="N567" s="49">
        <f t="shared" si="102"/>
        <v>1021.2</v>
      </c>
    </row>
    <row r="568" spans="1:14" x14ac:dyDescent="0.2">
      <c r="A568" s="50" t="str">
        <f t="shared" ca="1" si="111"/>
        <v>Иные бюджетные ассигнования</v>
      </c>
      <c r="B568" s="79" t="s">
        <v>302</v>
      </c>
      <c r="C568" s="65" t="s">
        <v>60</v>
      </c>
      <c r="D568" s="46" t="s">
        <v>60</v>
      </c>
      <c r="E568" s="26">
        <v>800</v>
      </c>
      <c r="F568" s="62">
        <f>F569</f>
        <v>410.4</v>
      </c>
      <c r="G568" s="62">
        <f>G569</f>
        <v>0</v>
      </c>
      <c r="H568" s="49">
        <f t="shared" si="103"/>
        <v>410.4</v>
      </c>
      <c r="I568" s="62">
        <f>I569</f>
        <v>0</v>
      </c>
      <c r="J568" s="49">
        <f t="shared" si="98"/>
        <v>410.4</v>
      </c>
      <c r="K568" s="62">
        <f>K569</f>
        <v>0</v>
      </c>
      <c r="L568" s="49">
        <f t="shared" si="110"/>
        <v>410.4</v>
      </c>
      <c r="M568" s="62">
        <f>M569</f>
        <v>0</v>
      </c>
      <c r="N568" s="49">
        <f t="shared" si="102"/>
        <v>410.4</v>
      </c>
    </row>
    <row r="569" spans="1:14" x14ac:dyDescent="0.2">
      <c r="A569" s="50" t="str">
        <f t="shared" ca="1" si="111"/>
        <v>Уплата налогов, сборов и иных платежей</v>
      </c>
      <c r="B569" s="79" t="s">
        <v>302</v>
      </c>
      <c r="C569" s="65" t="s">
        <v>60</v>
      </c>
      <c r="D569" s="46" t="s">
        <v>60</v>
      </c>
      <c r="E569" s="26">
        <v>850</v>
      </c>
      <c r="F569" s="62">
        <f>'прил. 8'!G345</f>
        <v>410.4</v>
      </c>
      <c r="G569" s="62">
        <f>'прил. 8'!H345</f>
        <v>0</v>
      </c>
      <c r="H569" s="49">
        <f t="shared" si="103"/>
        <v>410.4</v>
      </c>
      <c r="I569" s="62">
        <f>'прил. 8'!J345</f>
        <v>0</v>
      </c>
      <c r="J569" s="49">
        <f t="shared" si="98"/>
        <v>410.4</v>
      </c>
      <c r="K569" s="62">
        <f>'прил. 8'!L345</f>
        <v>0</v>
      </c>
      <c r="L569" s="49">
        <f t="shared" si="110"/>
        <v>410.4</v>
      </c>
      <c r="M569" s="62">
        <f>'прил. 8'!N345</f>
        <v>0</v>
      </c>
      <c r="N569" s="49">
        <f t="shared" si="102"/>
        <v>410.4</v>
      </c>
    </row>
    <row r="570" spans="1:14" x14ac:dyDescent="0.2">
      <c r="A570" s="50" t="str">
        <f ca="1">IF(ISERROR(MATCH(B570,Код_КЦСР,0)),"",INDIRECT(ADDRESS(MATCH(B570,Код_КЦСР,0)+1,2,,,"КЦСР")))</f>
        <v>Муниципальная программа «Здоровый город» на 2014 – 2022 годы</v>
      </c>
      <c r="B570" s="79" t="s">
        <v>303</v>
      </c>
      <c r="C570" s="65"/>
      <c r="D570" s="46"/>
      <c r="E570" s="26"/>
      <c r="F570" s="62">
        <f>F571+F577</f>
        <v>311</v>
      </c>
      <c r="G570" s="62">
        <f>G571+G577</f>
        <v>0</v>
      </c>
      <c r="H570" s="49">
        <f t="shared" si="103"/>
        <v>311</v>
      </c>
      <c r="I570" s="62">
        <f>I571+I577</f>
        <v>0</v>
      </c>
      <c r="J570" s="49">
        <f t="shared" si="98"/>
        <v>311</v>
      </c>
      <c r="K570" s="62">
        <f>K571+K577</f>
        <v>0</v>
      </c>
      <c r="L570" s="49">
        <f t="shared" si="110"/>
        <v>311</v>
      </c>
      <c r="M570" s="62">
        <f>M571+M577</f>
        <v>0</v>
      </c>
      <c r="N570" s="49">
        <f t="shared" si="102"/>
        <v>311</v>
      </c>
    </row>
    <row r="571" spans="1:14" x14ac:dyDescent="0.2">
      <c r="A571" s="50" t="str">
        <f ca="1">IF(ISERROR(MATCH(B571,Код_КЦСР,0)),"",INDIRECT(ADDRESS(MATCH(B571,Код_КЦСР,0)+1,2,,,"КЦСР")))</f>
        <v>Организационно-методическое обеспечение программы</v>
      </c>
      <c r="B571" s="79" t="s">
        <v>305</v>
      </c>
      <c r="C571" s="65"/>
      <c r="D571" s="46"/>
      <c r="E571" s="26"/>
      <c r="F571" s="62">
        <f>F572</f>
        <v>102.89999999999999</v>
      </c>
      <c r="G571" s="62">
        <f>G572</f>
        <v>0</v>
      </c>
      <c r="H571" s="49">
        <f t="shared" si="103"/>
        <v>102.89999999999999</v>
      </c>
      <c r="I571" s="62">
        <f>I572</f>
        <v>0</v>
      </c>
      <c r="J571" s="49">
        <f t="shared" si="98"/>
        <v>102.89999999999999</v>
      </c>
      <c r="K571" s="62">
        <f>K572</f>
        <v>0</v>
      </c>
      <c r="L571" s="49">
        <f t="shared" si="110"/>
        <v>102.89999999999999</v>
      </c>
      <c r="M571" s="62">
        <f>M572</f>
        <v>0</v>
      </c>
      <c r="N571" s="49">
        <f t="shared" si="102"/>
        <v>102.89999999999999</v>
      </c>
    </row>
    <row r="572" spans="1:14" x14ac:dyDescent="0.2">
      <c r="A572" s="50" t="str">
        <f ca="1">IF(ISERROR(MATCH(C572,Код_Раздел,0)),"",INDIRECT(ADDRESS(MATCH(C572,Код_Раздел,0)+1,2,,,"Раздел")))</f>
        <v>Общегосударственные вопросы</v>
      </c>
      <c r="B572" s="79" t="s">
        <v>305</v>
      </c>
      <c r="C572" s="65" t="s">
        <v>70</v>
      </c>
      <c r="D572" s="46"/>
      <c r="E572" s="26"/>
      <c r="F572" s="62">
        <f t="shared" ref="F572:M572" si="112">F573</f>
        <v>102.89999999999999</v>
      </c>
      <c r="G572" s="62">
        <f t="shared" si="112"/>
        <v>0</v>
      </c>
      <c r="H572" s="49">
        <f t="shared" si="103"/>
        <v>102.89999999999999</v>
      </c>
      <c r="I572" s="62">
        <f t="shared" si="112"/>
        <v>0</v>
      </c>
      <c r="J572" s="49">
        <f t="shared" si="98"/>
        <v>102.89999999999999</v>
      </c>
      <c r="K572" s="62">
        <f t="shared" si="112"/>
        <v>0</v>
      </c>
      <c r="L572" s="49">
        <f t="shared" si="110"/>
        <v>102.89999999999999</v>
      </c>
      <c r="M572" s="62">
        <f t="shared" si="112"/>
        <v>0</v>
      </c>
      <c r="N572" s="49">
        <f t="shared" si="102"/>
        <v>102.89999999999999</v>
      </c>
    </row>
    <row r="573" spans="1:14" x14ac:dyDescent="0.2">
      <c r="A573" s="45" t="s">
        <v>91</v>
      </c>
      <c r="B573" s="79" t="s">
        <v>305</v>
      </c>
      <c r="C573" s="65" t="s">
        <v>70</v>
      </c>
      <c r="D573" s="46" t="s">
        <v>55</v>
      </c>
      <c r="E573" s="26"/>
      <c r="F573" s="62">
        <f>F574</f>
        <v>102.89999999999999</v>
      </c>
      <c r="G573" s="62">
        <f>G574</f>
        <v>0</v>
      </c>
      <c r="H573" s="49">
        <f t="shared" si="103"/>
        <v>102.89999999999999</v>
      </c>
      <c r="I573" s="62">
        <f>I574</f>
        <v>0</v>
      </c>
      <c r="J573" s="49">
        <f t="shared" si="98"/>
        <v>102.89999999999999</v>
      </c>
      <c r="K573" s="62">
        <f>K574</f>
        <v>0</v>
      </c>
      <c r="L573" s="49">
        <f t="shared" si="110"/>
        <v>102.89999999999999</v>
      </c>
      <c r="M573" s="62">
        <f>M574</f>
        <v>0</v>
      </c>
      <c r="N573" s="49">
        <f t="shared" si="102"/>
        <v>102.89999999999999</v>
      </c>
    </row>
    <row r="574" spans="1:14" x14ac:dyDescent="0.2">
      <c r="A574" s="50" t="str">
        <f ca="1">IF(ISERROR(MATCH(E574,Код_КВР,0)),"",INDIRECT(ADDRESS(MATCH(E574,Код_КВР,0)+1,2,,,"КВР")))</f>
        <v>Иные бюджетные ассигнования</v>
      </c>
      <c r="B574" s="79" t="s">
        <v>305</v>
      </c>
      <c r="C574" s="65" t="s">
        <v>70</v>
      </c>
      <c r="D574" s="46" t="s">
        <v>55</v>
      </c>
      <c r="E574" s="26">
        <v>800</v>
      </c>
      <c r="F574" s="62">
        <f>F576+F575</f>
        <v>102.89999999999999</v>
      </c>
      <c r="G574" s="62">
        <f>G576+G575</f>
        <v>0</v>
      </c>
      <c r="H574" s="49">
        <f t="shared" si="103"/>
        <v>102.89999999999999</v>
      </c>
      <c r="I574" s="62">
        <f>I576+I575</f>
        <v>0</v>
      </c>
      <c r="J574" s="49">
        <f t="shared" ref="J574:J660" si="113">H574+I574</f>
        <v>102.89999999999999</v>
      </c>
      <c r="K574" s="62">
        <f>K576+K575</f>
        <v>0</v>
      </c>
      <c r="L574" s="49">
        <f t="shared" si="110"/>
        <v>102.89999999999999</v>
      </c>
      <c r="M574" s="62">
        <f>M576+M575</f>
        <v>0</v>
      </c>
      <c r="N574" s="49">
        <f t="shared" si="102"/>
        <v>102.89999999999999</v>
      </c>
    </row>
    <row r="575" spans="1:14" x14ac:dyDescent="0.2">
      <c r="A575" s="50" t="str">
        <f ca="1">IF(ISERROR(MATCH(E575,Код_КВР,0)),"",INDIRECT(ADDRESS(MATCH(E575,Код_КВР,0)+1,2,,,"КВР")))</f>
        <v>Уплата налогов, сборов и иных платежей</v>
      </c>
      <c r="B575" s="79" t="s">
        <v>305</v>
      </c>
      <c r="C575" s="65" t="s">
        <v>70</v>
      </c>
      <c r="D575" s="46" t="s">
        <v>55</v>
      </c>
      <c r="E575" s="26">
        <v>850</v>
      </c>
      <c r="F575" s="62">
        <f>'прил. 8'!G66</f>
        <v>31.8</v>
      </c>
      <c r="G575" s="62">
        <f>'прил. 8'!H66</f>
        <v>0</v>
      </c>
      <c r="H575" s="49">
        <f t="shared" si="103"/>
        <v>31.8</v>
      </c>
      <c r="I575" s="62">
        <f>'прил. 8'!J66</f>
        <v>0</v>
      </c>
      <c r="J575" s="49">
        <f t="shared" si="113"/>
        <v>31.8</v>
      </c>
      <c r="K575" s="62">
        <f>'прил. 8'!L66</f>
        <v>0</v>
      </c>
      <c r="L575" s="49">
        <f t="shared" si="110"/>
        <v>31.8</v>
      </c>
      <c r="M575" s="62">
        <f>'прил. 8'!N66</f>
        <v>0</v>
      </c>
      <c r="N575" s="49">
        <f t="shared" si="102"/>
        <v>31.8</v>
      </c>
    </row>
    <row r="576" spans="1:14" ht="33" x14ac:dyDescent="0.2">
      <c r="A576" s="50" t="str">
        <f ca="1">IF(ISERROR(MATCH(E576,Код_КВР,0)),"",INDIRECT(ADDRESS(MATCH(E576,Код_КВР,0)+1,2,,,"КВР")))</f>
        <v>Предоставление платежей, взносов, безвозмездных перечислений субъектам международного права</v>
      </c>
      <c r="B576" s="79" t="s">
        <v>305</v>
      </c>
      <c r="C576" s="65" t="s">
        <v>70</v>
      </c>
      <c r="D576" s="46" t="s">
        <v>55</v>
      </c>
      <c r="E576" s="26">
        <v>860</v>
      </c>
      <c r="F576" s="62">
        <f>'прил. 8'!G67</f>
        <v>71.099999999999994</v>
      </c>
      <c r="G576" s="62">
        <f>'прил. 8'!H67</f>
        <v>0</v>
      </c>
      <c r="H576" s="49">
        <f t="shared" si="103"/>
        <v>71.099999999999994</v>
      </c>
      <c r="I576" s="62">
        <f>'прил. 8'!J67</f>
        <v>0</v>
      </c>
      <c r="J576" s="49">
        <f t="shared" si="113"/>
        <v>71.099999999999994</v>
      </c>
      <c r="K576" s="62">
        <f>'прил. 8'!L67</f>
        <v>0</v>
      </c>
      <c r="L576" s="49">
        <f t="shared" si="110"/>
        <v>71.099999999999994</v>
      </c>
      <c r="M576" s="62">
        <f>'прил. 8'!N67</f>
        <v>0</v>
      </c>
      <c r="N576" s="49">
        <f t="shared" si="102"/>
        <v>71.099999999999994</v>
      </c>
    </row>
    <row r="577" spans="1:14" x14ac:dyDescent="0.2">
      <c r="A577" s="50" t="str">
        <f ca="1">IF(ISERROR(MATCH(B577,Код_КЦСР,0)),"",INDIRECT(ADDRESS(MATCH(B577,Код_КЦСР,0)+1,2,,,"КЦСР")))</f>
        <v>Пропаганда здорового образа жизни</v>
      </c>
      <c r="B577" s="79" t="s">
        <v>306</v>
      </c>
      <c r="C577" s="65"/>
      <c r="D577" s="46"/>
      <c r="E577" s="26"/>
      <c r="F577" s="62">
        <f>F578</f>
        <v>208.1</v>
      </c>
      <c r="G577" s="62">
        <f>G578</f>
        <v>0</v>
      </c>
      <c r="H577" s="49">
        <f t="shared" si="103"/>
        <v>208.1</v>
      </c>
      <c r="I577" s="62">
        <f>I578</f>
        <v>0</v>
      </c>
      <c r="J577" s="49">
        <f t="shared" si="113"/>
        <v>208.1</v>
      </c>
      <c r="K577" s="62">
        <f>K578</f>
        <v>0</v>
      </c>
      <c r="L577" s="49">
        <f t="shared" si="110"/>
        <v>208.1</v>
      </c>
      <c r="M577" s="62">
        <f>M578</f>
        <v>0</v>
      </c>
      <c r="N577" s="49">
        <f t="shared" si="102"/>
        <v>208.1</v>
      </c>
    </row>
    <row r="578" spans="1:14" x14ac:dyDescent="0.2">
      <c r="A578" s="50" t="str">
        <f ca="1">IF(ISERROR(MATCH(C578,Код_Раздел,0)),"",INDIRECT(ADDRESS(MATCH(C578,Код_Раздел,0)+1,2,,,"Раздел")))</f>
        <v>Общегосударственные вопросы</v>
      </c>
      <c r="B578" s="79" t="s">
        <v>306</v>
      </c>
      <c r="C578" s="65" t="s">
        <v>70</v>
      </c>
      <c r="D578" s="46"/>
      <c r="E578" s="26"/>
      <c r="F578" s="62">
        <f t="shared" ref="F578:M580" si="114">F579</f>
        <v>208.1</v>
      </c>
      <c r="G578" s="62">
        <f t="shared" si="114"/>
        <v>0</v>
      </c>
      <c r="H578" s="49">
        <f t="shared" si="103"/>
        <v>208.1</v>
      </c>
      <c r="I578" s="62">
        <f t="shared" si="114"/>
        <v>0</v>
      </c>
      <c r="J578" s="49">
        <f t="shared" si="113"/>
        <v>208.1</v>
      </c>
      <c r="K578" s="62">
        <f t="shared" si="114"/>
        <v>0</v>
      </c>
      <c r="L578" s="49">
        <f t="shared" si="110"/>
        <v>208.1</v>
      </c>
      <c r="M578" s="62">
        <f t="shared" si="114"/>
        <v>0</v>
      </c>
      <c r="N578" s="49">
        <f t="shared" si="102"/>
        <v>208.1</v>
      </c>
    </row>
    <row r="579" spans="1:14" x14ac:dyDescent="0.2">
      <c r="A579" s="45" t="s">
        <v>91</v>
      </c>
      <c r="B579" s="79" t="s">
        <v>306</v>
      </c>
      <c r="C579" s="65" t="s">
        <v>70</v>
      </c>
      <c r="D579" s="46" t="s">
        <v>55</v>
      </c>
      <c r="E579" s="26"/>
      <c r="F579" s="62">
        <f t="shared" si="114"/>
        <v>208.1</v>
      </c>
      <c r="G579" s="62">
        <f t="shared" si="114"/>
        <v>0</v>
      </c>
      <c r="H579" s="49">
        <f t="shared" si="103"/>
        <v>208.1</v>
      </c>
      <c r="I579" s="62">
        <f t="shared" si="114"/>
        <v>0</v>
      </c>
      <c r="J579" s="49">
        <f t="shared" si="113"/>
        <v>208.1</v>
      </c>
      <c r="K579" s="62">
        <f t="shared" si="114"/>
        <v>0</v>
      </c>
      <c r="L579" s="49">
        <f t="shared" si="110"/>
        <v>208.1</v>
      </c>
      <c r="M579" s="62">
        <f t="shared" si="114"/>
        <v>0</v>
      </c>
      <c r="N579" s="49">
        <f t="shared" si="102"/>
        <v>208.1</v>
      </c>
    </row>
    <row r="580" spans="1:14" ht="33" x14ac:dyDescent="0.2">
      <c r="A580" s="50" t="str">
        <f ca="1">IF(ISERROR(MATCH(E580,Код_КВР,0)),"",INDIRECT(ADDRESS(MATCH(E580,Код_КВР,0)+1,2,,,"КВР")))</f>
        <v>Закупка товаров, работ и услуг для обеспечения государственных (муниципальных) нужд</v>
      </c>
      <c r="B580" s="79" t="s">
        <v>306</v>
      </c>
      <c r="C580" s="65" t="s">
        <v>70</v>
      </c>
      <c r="D580" s="46" t="s">
        <v>55</v>
      </c>
      <c r="E580" s="26">
        <v>200</v>
      </c>
      <c r="F580" s="62">
        <f t="shared" si="114"/>
        <v>208.1</v>
      </c>
      <c r="G580" s="62">
        <f t="shared" si="114"/>
        <v>0</v>
      </c>
      <c r="H580" s="49">
        <f t="shared" si="103"/>
        <v>208.1</v>
      </c>
      <c r="I580" s="62">
        <f t="shared" si="114"/>
        <v>0</v>
      </c>
      <c r="J580" s="49">
        <f t="shared" si="113"/>
        <v>208.1</v>
      </c>
      <c r="K580" s="62">
        <f t="shared" si="114"/>
        <v>0</v>
      </c>
      <c r="L580" s="49">
        <f t="shared" si="110"/>
        <v>208.1</v>
      </c>
      <c r="M580" s="62">
        <f t="shared" si="114"/>
        <v>0</v>
      </c>
      <c r="N580" s="49">
        <f t="shared" si="102"/>
        <v>208.1</v>
      </c>
    </row>
    <row r="581" spans="1:14" ht="33" x14ac:dyDescent="0.2">
      <c r="A581" s="50" t="str">
        <f ca="1">IF(ISERROR(MATCH(E581,Код_КВР,0)),"",INDIRECT(ADDRESS(MATCH(E581,Код_КВР,0)+1,2,,,"КВР")))</f>
        <v>Иные закупки товаров, работ и услуг для обеспечения государственных (муниципальных) нужд</v>
      </c>
      <c r="B581" s="79" t="s">
        <v>306</v>
      </c>
      <c r="C581" s="65" t="s">
        <v>70</v>
      </c>
      <c r="D581" s="46" t="s">
        <v>55</v>
      </c>
      <c r="E581" s="26">
        <v>240</v>
      </c>
      <c r="F581" s="62">
        <f>'прил. 8'!G70</f>
        <v>208.1</v>
      </c>
      <c r="G581" s="62">
        <f>'прил. 8'!H70</f>
        <v>0</v>
      </c>
      <c r="H581" s="49">
        <f t="shared" si="103"/>
        <v>208.1</v>
      </c>
      <c r="I581" s="62">
        <f>'прил. 8'!J70</f>
        <v>0</v>
      </c>
      <c r="J581" s="49">
        <f t="shared" si="113"/>
        <v>208.1</v>
      </c>
      <c r="K581" s="62">
        <f>'прил. 8'!L70</f>
        <v>0</v>
      </c>
      <c r="L581" s="49">
        <f t="shared" si="110"/>
        <v>208.1</v>
      </c>
      <c r="M581" s="62">
        <f>'прил. 8'!N70</f>
        <v>0</v>
      </c>
      <c r="N581" s="49">
        <f t="shared" si="102"/>
        <v>208.1</v>
      </c>
    </row>
    <row r="582" spans="1:14" ht="33" x14ac:dyDescent="0.2">
      <c r="A582" s="50" t="str">
        <f ca="1">IF(ISERROR(MATCH(B582,Код_КЦСР,0)),"",INDIRECT(ADDRESS(MATCH(B582,Код_КЦСР,0)+1,2,,,"КЦСР")))</f>
        <v>Муниципальная программа «iCity-Современные информационные технологии г. Череповца» на 2014 – 2020 годы</v>
      </c>
      <c r="B582" s="79" t="s">
        <v>307</v>
      </c>
      <c r="C582" s="65"/>
      <c r="D582" s="46"/>
      <c r="E582" s="26"/>
      <c r="F582" s="62">
        <f>F583+F592</f>
        <v>45460.399999999994</v>
      </c>
      <c r="G582" s="62">
        <f>G583+G592</f>
        <v>0</v>
      </c>
      <c r="H582" s="49">
        <f t="shared" si="103"/>
        <v>45460.399999999994</v>
      </c>
      <c r="I582" s="62">
        <f>I583+I592</f>
        <v>0</v>
      </c>
      <c r="J582" s="49">
        <f t="shared" si="113"/>
        <v>45460.399999999994</v>
      </c>
      <c r="K582" s="62">
        <f>K583+K592</f>
        <v>0</v>
      </c>
      <c r="L582" s="49">
        <f t="shared" si="110"/>
        <v>45460.399999999994</v>
      </c>
      <c r="M582" s="62">
        <f>M583+M592</f>
        <v>0</v>
      </c>
      <c r="N582" s="49">
        <f t="shared" si="102"/>
        <v>45460.399999999994</v>
      </c>
    </row>
    <row r="583" spans="1:14" ht="49.5" x14ac:dyDescent="0.2">
      <c r="A583" s="50" t="str">
        <f ca="1">IF(ISERROR(MATCH(B583,Код_КЦСР,0)),"",INDIRECT(ADDRESS(MATCH(B583,Код_КЦСР,0)+1,2,,,"КЦСР")))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583" s="79" t="s">
        <v>309</v>
      </c>
      <c r="C583" s="65"/>
      <c r="D583" s="46"/>
      <c r="E583" s="26"/>
      <c r="F583" s="62">
        <f>F584+F588</f>
        <v>863.7</v>
      </c>
      <c r="G583" s="62">
        <f>G584+G588</f>
        <v>0</v>
      </c>
      <c r="H583" s="49">
        <f t="shared" si="103"/>
        <v>863.7</v>
      </c>
      <c r="I583" s="62">
        <f>I584+I588</f>
        <v>0</v>
      </c>
      <c r="J583" s="49">
        <f t="shared" si="113"/>
        <v>863.7</v>
      </c>
      <c r="K583" s="62">
        <f>K584+K588</f>
        <v>0</v>
      </c>
      <c r="L583" s="49">
        <f t="shared" si="110"/>
        <v>863.7</v>
      </c>
      <c r="M583" s="62">
        <f>M584+M588</f>
        <v>0</v>
      </c>
      <c r="N583" s="49">
        <f t="shared" si="102"/>
        <v>863.7</v>
      </c>
    </row>
    <row r="584" spans="1:14" x14ac:dyDescent="0.2">
      <c r="A584" s="50" t="str">
        <f ca="1">IF(ISERROR(MATCH(C584,Код_Раздел,0)),"",INDIRECT(ADDRESS(MATCH(C584,Код_Раздел,0)+1,2,,,"Раздел")))</f>
        <v>Национальная экономика</v>
      </c>
      <c r="B584" s="79" t="s">
        <v>309</v>
      </c>
      <c r="C584" s="65" t="s">
        <v>73</v>
      </c>
      <c r="D584" s="46"/>
      <c r="E584" s="26"/>
      <c r="F584" s="62">
        <f t="shared" ref="F584:M586" si="115">F585</f>
        <v>811.6</v>
      </c>
      <c r="G584" s="62">
        <f t="shared" si="115"/>
        <v>0</v>
      </c>
      <c r="H584" s="49">
        <f t="shared" si="103"/>
        <v>811.6</v>
      </c>
      <c r="I584" s="62">
        <f t="shared" si="115"/>
        <v>0</v>
      </c>
      <c r="J584" s="49">
        <f t="shared" si="113"/>
        <v>811.6</v>
      </c>
      <c r="K584" s="62">
        <f t="shared" si="115"/>
        <v>0</v>
      </c>
      <c r="L584" s="49">
        <f t="shared" si="110"/>
        <v>811.6</v>
      </c>
      <c r="M584" s="62">
        <f t="shared" si="115"/>
        <v>0</v>
      </c>
      <c r="N584" s="49">
        <f t="shared" si="102"/>
        <v>811.6</v>
      </c>
    </row>
    <row r="585" spans="1:14" x14ac:dyDescent="0.2">
      <c r="A585" s="45" t="s">
        <v>87</v>
      </c>
      <c r="B585" s="79" t="s">
        <v>309</v>
      </c>
      <c r="C585" s="65" t="s">
        <v>73</v>
      </c>
      <c r="D585" s="46" t="s">
        <v>53</v>
      </c>
      <c r="E585" s="26"/>
      <c r="F585" s="62">
        <f t="shared" si="115"/>
        <v>811.6</v>
      </c>
      <c r="G585" s="62">
        <f t="shared" si="115"/>
        <v>0</v>
      </c>
      <c r="H585" s="49">
        <f t="shared" si="103"/>
        <v>811.6</v>
      </c>
      <c r="I585" s="62">
        <f t="shared" si="115"/>
        <v>0</v>
      </c>
      <c r="J585" s="49">
        <f t="shared" si="113"/>
        <v>811.6</v>
      </c>
      <c r="K585" s="62">
        <f t="shared" si="115"/>
        <v>0</v>
      </c>
      <c r="L585" s="49">
        <f t="shared" si="110"/>
        <v>811.6</v>
      </c>
      <c r="M585" s="62">
        <f t="shared" si="115"/>
        <v>0</v>
      </c>
      <c r="N585" s="49">
        <f t="shared" si="102"/>
        <v>811.6</v>
      </c>
    </row>
    <row r="586" spans="1:14" ht="33" x14ac:dyDescent="0.2">
      <c r="A586" s="50" t="str">
        <f ca="1">IF(ISERROR(MATCH(E586,Код_КВР,0)),"",INDIRECT(ADDRESS(MATCH(E586,Код_КВР,0)+1,2,,,"КВР")))</f>
        <v>Предоставление субсидий бюджетным, автономным учреждениям и иным некоммерческим организациям</v>
      </c>
      <c r="B586" s="79" t="s">
        <v>309</v>
      </c>
      <c r="C586" s="65" t="s">
        <v>73</v>
      </c>
      <c r="D586" s="46" t="s">
        <v>53</v>
      </c>
      <c r="E586" s="26">
        <v>600</v>
      </c>
      <c r="F586" s="62">
        <f t="shared" si="115"/>
        <v>811.6</v>
      </c>
      <c r="G586" s="62">
        <f t="shared" si="115"/>
        <v>0</v>
      </c>
      <c r="H586" s="49">
        <f t="shared" si="103"/>
        <v>811.6</v>
      </c>
      <c r="I586" s="62">
        <f t="shared" si="115"/>
        <v>0</v>
      </c>
      <c r="J586" s="49">
        <f t="shared" si="113"/>
        <v>811.6</v>
      </c>
      <c r="K586" s="62">
        <f t="shared" si="115"/>
        <v>0</v>
      </c>
      <c r="L586" s="49">
        <f t="shared" si="110"/>
        <v>811.6</v>
      </c>
      <c r="M586" s="62">
        <f t="shared" si="115"/>
        <v>0</v>
      </c>
      <c r="N586" s="49">
        <f t="shared" si="102"/>
        <v>811.6</v>
      </c>
    </row>
    <row r="587" spans="1:14" x14ac:dyDescent="0.2">
      <c r="A587" s="50" t="str">
        <f ca="1">IF(ISERROR(MATCH(E587,Код_КВР,0)),"",INDIRECT(ADDRESS(MATCH(E587,Код_КВР,0)+1,2,,,"КВР")))</f>
        <v>Субсидии бюджетным учреждениям</v>
      </c>
      <c r="B587" s="79" t="s">
        <v>309</v>
      </c>
      <c r="C587" s="65" t="s">
        <v>73</v>
      </c>
      <c r="D587" s="46" t="s">
        <v>53</v>
      </c>
      <c r="E587" s="26">
        <v>610</v>
      </c>
      <c r="F587" s="62">
        <f>'прил. 8'!G198</f>
        <v>811.6</v>
      </c>
      <c r="G587" s="62">
        <f>'прил. 8'!H198</f>
        <v>0</v>
      </c>
      <c r="H587" s="49">
        <f t="shared" si="103"/>
        <v>811.6</v>
      </c>
      <c r="I587" s="62">
        <f>'прил. 8'!J198</f>
        <v>0</v>
      </c>
      <c r="J587" s="49">
        <f t="shared" si="113"/>
        <v>811.6</v>
      </c>
      <c r="K587" s="62">
        <f>'прил. 8'!L198</f>
        <v>0</v>
      </c>
      <c r="L587" s="49">
        <f t="shared" si="110"/>
        <v>811.6</v>
      </c>
      <c r="M587" s="62">
        <f>'прил. 8'!N198</f>
        <v>0</v>
      </c>
      <c r="N587" s="49">
        <f t="shared" si="102"/>
        <v>811.6</v>
      </c>
    </row>
    <row r="588" spans="1:14" x14ac:dyDescent="0.2">
      <c r="A588" s="50" t="str">
        <f ca="1">IF(ISERROR(MATCH(C588,Код_Раздел,0)),"",INDIRECT(ADDRESS(MATCH(C588,Код_Раздел,0)+1,2,,,"Раздел")))</f>
        <v>Образование</v>
      </c>
      <c r="B588" s="79" t="s">
        <v>309</v>
      </c>
      <c r="C588" s="65" t="s">
        <v>60</v>
      </c>
      <c r="D588" s="46"/>
      <c r="E588" s="26"/>
      <c r="F588" s="62">
        <f t="shared" ref="F588:M590" si="116">F589</f>
        <v>52.1</v>
      </c>
      <c r="G588" s="62">
        <f t="shared" si="116"/>
        <v>0</v>
      </c>
      <c r="H588" s="49">
        <f t="shared" si="103"/>
        <v>52.1</v>
      </c>
      <c r="I588" s="62">
        <f t="shared" si="116"/>
        <v>0</v>
      </c>
      <c r="J588" s="49">
        <f t="shared" si="113"/>
        <v>52.1</v>
      </c>
      <c r="K588" s="62">
        <f t="shared" si="116"/>
        <v>0</v>
      </c>
      <c r="L588" s="49">
        <f t="shared" si="110"/>
        <v>52.1</v>
      </c>
      <c r="M588" s="62">
        <f t="shared" si="116"/>
        <v>0</v>
      </c>
      <c r="N588" s="49">
        <f t="shared" si="102"/>
        <v>52.1</v>
      </c>
    </row>
    <row r="589" spans="1:14" x14ac:dyDescent="0.2">
      <c r="A589" s="45" t="s">
        <v>532</v>
      </c>
      <c r="B589" s="79" t="s">
        <v>309</v>
      </c>
      <c r="C589" s="65" t="s">
        <v>60</v>
      </c>
      <c r="D589" s="46" t="s">
        <v>78</v>
      </c>
      <c r="E589" s="26"/>
      <c r="F589" s="62">
        <f t="shared" si="116"/>
        <v>52.1</v>
      </c>
      <c r="G589" s="62">
        <f t="shared" si="116"/>
        <v>0</v>
      </c>
      <c r="H589" s="49">
        <f t="shared" si="103"/>
        <v>52.1</v>
      </c>
      <c r="I589" s="62">
        <f t="shared" si="116"/>
        <v>0</v>
      </c>
      <c r="J589" s="49">
        <f t="shared" si="113"/>
        <v>52.1</v>
      </c>
      <c r="K589" s="62">
        <f t="shared" si="116"/>
        <v>0</v>
      </c>
      <c r="L589" s="49">
        <f t="shared" si="110"/>
        <v>52.1</v>
      </c>
      <c r="M589" s="62">
        <f t="shared" si="116"/>
        <v>0</v>
      </c>
      <c r="N589" s="49">
        <f t="shared" si="102"/>
        <v>52.1</v>
      </c>
    </row>
    <row r="590" spans="1:14" ht="33" x14ac:dyDescent="0.2">
      <c r="A590" s="50" t="str">
        <f ca="1">IF(ISERROR(MATCH(E590,Код_КВР,0)),"",INDIRECT(ADDRESS(MATCH(E590,Код_КВР,0)+1,2,,,"КВР")))</f>
        <v>Предоставление субсидий бюджетным, автономным учреждениям и иным некоммерческим организациям</v>
      </c>
      <c r="B590" s="79" t="s">
        <v>309</v>
      </c>
      <c r="C590" s="65" t="s">
        <v>60</v>
      </c>
      <c r="D590" s="46" t="s">
        <v>78</v>
      </c>
      <c r="E590" s="26">
        <v>600</v>
      </c>
      <c r="F590" s="62">
        <f t="shared" si="116"/>
        <v>52.1</v>
      </c>
      <c r="G590" s="62">
        <f t="shared" si="116"/>
        <v>0</v>
      </c>
      <c r="H590" s="49">
        <f t="shared" si="103"/>
        <v>52.1</v>
      </c>
      <c r="I590" s="62">
        <f t="shared" si="116"/>
        <v>0</v>
      </c>
      <c r="J590" s="49">
        <f t="shared" si="113"/>
        <v>52.1</v>
      </c>
      <c r="K590" s="62">
        <f t="shared" si="116"/>
        <v>0</v>
      </c>
      <c r="L590" s="49">
        <f t="shared" si="110"/>
        <v>52.1</v>
      </c>
      <c r="M590" s="62">
        <f t="shared" si="116"/>
        <v>0</v>
      </c>
      <c r="N590" s="49">
        <f t="shared" si="102"/>
        <v>52.1</v>
      </c>
    </row>
    <row r="591" spans="1:14" x14ac:dyDescent="0.2">
      <c r="A591" s="50" t="str">
        <f ca="1">IF(ISERROR(MATCH(E591,Код_КВР,0)),"",INDIRECT(ADDRESS(MATCH(E591,Код_КВР,0)+1,2,,,"КВР")))</f>
        <v>Субсидии бюджетным учреждениям</v>
      </c>
      <c r="B591" s="79" t="s">
        <v>309</v>
      </c>
      <c r="C591" s="65" t="s">
        <v>60</v>
      </c>
      <c r="D591" s="46" t="s">
        <v>78</v>
      </c>
      <c r="E591" s="26">
        <v>610</v>
      </c>
      <c r="F591" s="62">
        <f>'прил. 8'!G295</f>
        <v>52.1</v>
      </c>
      <c r="G591" s="62">
        <f>'прил. 8'!H295</f>
        <v>0</v>
      </c>
      <c r="H591" s="49">
        <f t="shared" si="103"/>
        <v>52.1</v>
      </c>
      <c r="I591" s="62">
        <f>'прил. 8'!J295</f>
        <v>0</v>
      </c>
      <c r="J591" s="49">
        <f t="shared" si="113"/>
        <v>52.1</v>
      </c>
      <c r="K591" s="62">
        <f>'прил. 8'!L295</f>
        <v>0</v>
      </c>
      <c r="L591" s="49">
        <f t="shared" si="110"/>
        <v>52.1</v>
      </c>
      <c r="M591" s="62">
        <f>'прил. 8'!N295</f>
        <v>0</v>
      </c>
      <c r="N591" s="49">
        <f t="shared" si="102"/>
        <v>52.1</v>
      </c>
    </row>
    <row r="592" spans="1:14" ht="79.5" customHeight="1" x14ac:dyDescent="0.2">
      <c r="A592" s="50" t="str">
        <f ca="1">IF(ISERROR(MATCH(B592,Код_КЦСР,0)),"",INDIRECT(ADDRESS(MATCH(B592,Код_КЦСР,0)+1,2,,,"КЦСР")))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592" s="79" t="s">
        <v>310</v>
      </c>
      <c r="C592" s="65"/>
      <c r="D592" s="46"/>
      <c r="E592" s="26"/>
      <c r="F592" s="62">
        <f>F593+F598</f>
        <v>44596.7</v>
      </c>
      <c r="G592" s="62">
        <f>G593+G598</f>
        <v>0</v>
      </c>
      <c r="H592" s="49">
        <f t="shared" si="103"/>
        <v>44596.7</v>
      </c>
      <c r="I592" s="62">
        <f>I593+I598</f>
        <v>0</v>
      </c>
      <c r="J592" s="49">
        <f t="shared" si="113"/>
        <v>44596.7</v>
      </c>
      <c r="K592" s="62">
        <f>K593+K598</f>
        <v>0</v>
      </c>
      <c r="L592" s="49">
        <f t="shared" si="110"/>
        <v>44596.7</v>
      </c>
      <c r="M592" s="62">
        <f>M593+M598</f>
        <v>0</v>
      </c>
      <c r="N592" s="49">
        <f t="shared" si="102"/>
        <v>44596.7</v>
      </c>
    </row>
    <row r="593" spans="1:14" ht="90" customHeight="1" x14ac:dyDescent="0.2">
      <c r="A593" s="50" t="str">
        <f ca="1">IF(ISERROR(MATCH(B593,Код_КЦСР,0)),"",INDIRECT(ADDRESS(MATCH(B593,Код_КЦСР,0)+1,2,,,"КЦСР")))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города, за счет средств городского бюджета</v>
      </c>
      <c r="B593" s="79" t="s">
        <v>478</v>
      </c>
      <c r="C593" s="65"/>
      <c r="D593" s="46"/>
      <c r="E593" s="26"/>
      <c r="F593" s="62">
        <f>F594</f>
        <v>44479</v>
      </c>
      <c r="G593" s="62">
        <f>G594</f>
        <v>0</v>
      </c>
      <c r="H593" s="49">
        <f t="shared" si="103"/>
        <v>44479</v>
      </c>
      <c r="I593" s="62">
        <f>I594</f>
        <v>0</v>
      </c>
      <c r="J593" s="49">
        <f t="shared" si="113"/>
        <v>44479</v>
      </c>
      <c r="K593" s="62">
        <f>K594</f>
        <v>0</v>
      </c>
      <c r="L593" s="49">
        <f t="shared" si="110"/>
        <v>44479</v>
      </c>
      <c r="M593" s="62">
        <f>M594</f>
        <v>0</v>
      </c>
      <c r="N593" s="49">
        <f t="shared" si="102"/>
        <v>44479</v>
      </c>
    </row>
    <row r="594" spans="1:14" x14ac:dyDescent="0.2">
      <c r="A594" s="50" t="str">
        <f ca="1">IF(ISERROR(MATCH(C594,Код_Раздел,0)),"",INDIRECT(ADDRESS(MATCH(C594,Код_Раздел,0)+1,2,,,"Раздел")))</f>
        <v>Национальная экономика</v>
      </c>
      <c r="B594" s="79" t="s">
        <v>478</v>
      </c>
      <c r="C594" s="65" t="s">
        <v>73</v>
      </c>
      <c r="D594" s="46"/>
      <c r="E594" s="26"/>
      <c r="F594" s="62">
        <f t="shared" ref="F594:M595" si="117">F595</f>
        <v>44479</v>
      </c>
      <c r="G594" s="62">
        <f t="shared" si="117"/>
        <v>0</v>
      </c>
      <c r="H594" s="49">
        <f t="shared" si="103"/>
        <v>44479</v>
      </c>
      <c r="I594" s="62">
        <f t="shared" si="117"/>
        <v>0</v>
      </c>
      <c r="J594" s="49">
        <f t="shared" si="113"/>
        <v>44479</v>
      </c>
      <c r="K594" s="62">
        <f t="shared" si="117"/>
        <v>0</v>
      </c>
      <c r="L594" s="49">
        <f t="shared" si="110"/>
        <v>44479</v>
      </c>
      <c r="M594" s="62">
        <f t="shared" si="117"/>
        <v>0</v>
      </c>
      <c r="N594" s="49">
        <f t="shared" ref="N594:N657" si="118">L594+M594</f>
        <v>44479</v>
      </c>
    </row>
    <row r="595" spans="1:14" x14ac:dyDescent="0.2">
      <c r="A595" s="45" t="s">
        <v>87</v>
      </c>
      <c r="B595" s="79" t="s">
        <v>478</v>
      </c>
      <c r="C595" s="65" t="s">
        <v>73</v>
      </c>
      <c r="D595" s="46" t="s">
        <v>53</v>
      </c>
      <c r="E595" s="26"/>
      <c r="F595" s="62">
        <f t="shared" si="117"/>
        <v>44479</v>
      </c>
      <c r="G595" s="62">
        <f t="shared" si="117"/>
        <v>0</v>
      </c>
      <c r="H595" s="49">
        <f t="shared" si="103"/>
        <v>44479</v>
      </c>
      <c r="I595" s="62">
        <f t="shared" si="117"/>
        <v>0</v>
      </c>
      <c r="J595" s="49">
        <f t="shared" si="113"/>
        <v>44479</v>
      </c>
      <c r="K595" s="62">
        <f t="shared" si="117"/>
        <v>0</v>
      </c>
      <c r="L595" s="49">
        <f t="shared" si="110"/>
        <v>44479</v>
      </c>
      <c r="M595" s="62">
        <f t="shared" si="117"/>
        <v>0</v>
      </c>
      <c r="N595" s="49">
        <f t="shared" si="118"/>
        <v>44479</v>
      </c>
    </row>
    <row r="596" spans="1:14" ht="33" x14ac:dyDescent="0.2">
      <c r="A596" s="50" t="str">
        <f ca="1">IF(ISERROR(MATCH(E596,Код_КВР,0)),"",INDIRECT(ADDRESS(MATCH(E596,Код_КВР,0)+1,2,,,"КВР")))</f>
        <v>Предоставление субсидий бюджетным, автономным учреждениям и иным некоммерческим организациям</v>
      </c>
      <c r="B596" s="79" t="s">
        <v>478</v>
      </c>
      <c r="C596" s="65" t="s">
        <v>73</v>
      </c>
      <c r="D596" s="46" t="s">
        <v>53</v>
      </c>
      <c r="E596" s="26">
        <v>600</v>
      </c>
      <c r="F596" s="62">
        <f>SUM(F597:F597)</f>
        <v>44479</v>
      </c>
      <c r="G596" s="62">
        <f>SUM(G597:G597)</f>
        <v>0</v>
      </c>
      <c r="H596" s="49">
        <f t="shared" si="103"/>
        <v>44479</v>
      </c>
      <c r="I596" s="62">
        <f>SUM(I597:I597)</f>
        <v>0</v>
      </c>
      <c r="J596" s="49">
        <f t="shared" si="113"/>
        <v>44479</v>
      </c>
      <c r="K596" s="62">
        <f>SUM(K597:K597)</f>
        <v>0</v>
      </c>
      <c r="L596" s="49">
        <f t="shared" si="110"/>
        <v>44479</v>
      </c>
      <c r="M596" s="62">
        <f>SUM(M597:M597)</f>
        <v>0</v>
      </c>
      <c r="N596" s="49">
        <f t="shared" si="118"/>
        <v>44479</v>
      </c>
    </row>
    <row r="597" spans="1:14" x14ac:dyDescent="0.2">
      <c r="A597" s="50" t="str">
        <f ca="1">IF(ISERROR(MATCH(E597,Код_КВР,0)),"",INDIRECT(ADDRESS(MATCH(E597,Код_КВР,0)+1,2,,,"КВР")))</f>
        <v>Субсидии бюджетным учреждениям</v>
      </c>
      <c r="B597" s="79" t="s">
        <v>478</v>
      </c>
      <c r="C597" s="65" t="s">
        <v>73</v>
      </c>
      <c r="D597" s="46" t="s">
        <v>53</v>
      </c>
      <c r="E597" s="26">
        <v>610</v>
      </c>
      <c r="F597" s="62">
        <f>'прил. 8'!G202</f>
        <v>44479</v>
      </c>
      <c r="G597" s="62">
        <f>'прил. 8'!H202</f>
        <v>0</v>
      </c>
      <c r="H597" s="49">
        <f t="shared" ref="H597:H683" si="119">F597+G597</f>
        <v>44479</v>
      </c>
      <c r="I597" s="62">
        <f>'прил. 8'!J202</f>
        <v>0</v>
      </c>
      <c r="J597" s="49">
        <f t="shared" si="113"/>
        <v>44479</v>
      </c>
      <c r="K597" s="62">
        <f>'прил. 8'!L202</f>
        <v>0</v>
      </c>
      <c r="L597" s="49">
        <f t="shared" si="110"/>
        <v>44479</v>
      </c>
      <c r="M597" s="62">
        <f>'прил. 8'!N202</f>
        <v>0</v>
      </c>
      <c r="N597" s="49">
        <f t="shared" si="118"/>
        <v>44479</v>
      </c>
    </row>
    <row r="598" spans="1:14" ht="167.25" customHeight="1" x14ac:dyDescent="0.2">
      <c r="A598" s="50" t="str">
        <f ca="1">IF(ISERROR(MATCH(B598,Код_КЦСР,0)),"",INDIRECT(ADDRESS(MATCH(B598,Код_КЦСР,0)+1,2,,,"КЦСР")))</f>
        <v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 года № 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государственных образовательных организациях), лиц из числа детей указанных категорий», за счет средств областного бюджета</v>
      </c>
      <c r="B598" s="79" t="s">
        <v>468</v>
      </c>
      <c r="C598" s="65"/>
      <c r="D598" s="46"/>
      <c r="E598" s="26"/>
      <c r="F598" s="62">
        <f t="shared" ref="F598:M601" si="120">F599</f>
        <v>117.7</v>
      </c>
      <c r="G598" s="62">
        <f t="shared" si="120"/>
        <v>0</v>
      </c>
      <c r="H598" s="49">
        <f t="shared" si="119"/>
        <v>117.7</v>
      </c>
      <c r="I598" s="62">
        <f t="shared" si="120"/>
        <v>0</v>
      </c>
      <c r="J598" s="49">
        <f t="shared" si="113"/>
        <v>117.7</v>
      </c>
      <c r="K598" s="62">
        <f t="shared" si="120"/>
        <v>0</v>
      </c>
      <c r="L598" s="49">
        <f t="shared" si="110"/>
        <v>117.7</v>
      </c>
      <c r="M598" s="62">
        <f t="shared" si="120"/>
        <v>0</v>
      </c>
      <c r="N598" s="49">
        <f t="shared" si="118"/>
        <v>117.7</v>
      </c>
    </row>
    <row r="599" spans="1:14" x14ac:dyDescent="0.2">
      <c r="A599" s="50" t="str">
        <f ca="1">IF(ISERROR(MATCH(C599,Код_Раздел,0)),"",INDIRECT(ADDRESS(MATCH(C599,Код_Раздел,0)+1,2,,,"Раздел")))</f>
        <v>Национальная экономика</v>
      </c>
      <c r="B599" s="79" t="s">
        <v>468</v>
      </c>
      <c r="C599" s="65" t="s">
        <v>73</v>
      </c>
      <c r="D599" s="46"/>
      <c r="E599" s="26"/>
      <c r="F599" s="62">
        <f t="shared" si="120"/>
        <v>117.7</v>
      </c>
      <c r="G599" s="62">
        <f t="shared" si="120"/>
        <v>0</v>
      </c>
      <c r="H599" s="49">
        <f t="shared" si="119"/>
        <v>117.7</v>
      </c>
      <c r="I599" s="62">
        <f t="shared" si="120"/>
        <v>0</v>
      </c>
      <c r="J599" s="49">
        <f t="shared" si="113"/>
        <v>117.7</v>
      </c>
      <c r="K599" s="62">
        <f t="shared" si="120"/>
        <v>0</v>
      </c>
      <c r="L599" s="49">
        <f t="shared" si="110"/>
        <v>117.7</v>
      </c>
      <c r="M599" s="62">
        <f t="shared" si="120"/>
        <v>0</v>
      </c>
      <c r="N599" s="49">
        <f t="shared" si="118"/>
        <v>117.7</v>
      </c>
    </row>
    <row r="600" spans="1:14" x14ac:dyDescent="0.2">
      <c r="A600" s="45" t="s">
        <v>87</v>
      </c>
      <c r="B600" s="79" t="s">
        <v>468</v>
      </c>
      <c r="C600" s="65" t="s">
        <v>73</v>
      </c>
      <c r="D600" s="46" t="s">
        <v>53</v>
      </c>
      <c r="E600" s="26"/>
      <c r="F600" s="62">
        <f t="shared" si="120"/>
        <v>117.7</v>
      </c>
      <c r="G600" s="62">
        <f t="shared" si="120"/>
        <v>0</v>
      </c>
      <c r="H600" s="49">
        <f t="shared" si="119"/>
        <v>117.7</v>
      </c>
      <c r="I600" s="62">
        <f t="shared" si="120"/>
        <v>0</v>
      </c>
      <c r="J600" s="49">
        <f t="shared" si="113"/>
        <v>117.7</v>
      </c>
      <c r="K600" s="62">
        <f t="shared" si="120"/>
        <v>0</v>
      </c>
      <c r="L600" s="49">
        <f t="shared" si="110"/>
        <v>117.7</v>
      </c>
      <c r="M600" s="62">
        <f t="shared" si="120"/>
        <v>0</v>
      </c>
      <c r="N600" s="49">
        <f t="shared" si="118"/>
        <v>117.7</v>
      </c>
    </row>
    <row r="601" spans="1:14" ht="33" x14ac:dyDescent="0.2">
      <c r="A601" s="50" t="str">
        <f ca="1">IF(ISERROR(MATCH(E601,Код_КВР,0)),"",INDIRECT(ADDRESS(MATCH(E601,Код_КВР,0)+1,2,,,"КВР")))</f>
        <v>Предоставление субсидий бюджетным, автономным учреждениям и иным некоммерческим организациям</v>
      </c>
      <c r="B601" s="79" t="s">
        <v>468</v>
      </c>
      <c r="C601" s="65" t="s">
        <v>73</v>
      </c>
      <c r="D601" s="46" t="s">
        <v>53</v>
      </c>
      <c r="E601" s="26">
        <v>600</v>
      </c>
      <c r="F601" s="62">
        <f t="shared" si="120"/>
        <v>117.7</v>
      </c>
      <c r="G601" s="62">
        <f t="shared" si="120"/>
        <v>0</v>
      </c>
      <c r="H601" s="49">
        <f t="shared" si="119"/>
        <v>117.7</v>
      </c>
      <c r="I601" s="62">
        <f t="shared" si="120"/>
        <v>0</v>
      </c>
      <c r="J601" s="49">
        <f t="shared" si="113"/>
        <v>117.7</v>
      </c>
      <c r="K601" s="62">
        <f t="shared" si="120"/>
        <v>0</v>
      </c>
      <c r="L601" s="49">
        <f t="shared" si="110"/>
        <v>117.7</v>
      </c>
      <c r="M601" s="62">
        <f t="shared" si="120"/>
        <v>0</v>
      </c>
      <c r="N601" s="49">
        <f t="shared" si="118"/>
        <v>117.7</v>
      </c>
    </row>
    <row r="602" spans="1:14" x14ac:dyDescent="0.2">
      <c r="A602" s="50" t="str">
        <f ca="1">IF(ISERROR(MATCH(E602,Код_КВР,0)),"",INDIRECT(ADDRESS(MATCH(E602,Код_КВР,0)+1,2,,,"КВР")))</f>
        <v>Субсидии бюджетным учреждениям</v>
      </c>
      <c r="B602" s="79" t="s">
        <v>468</v>
      </c>
      <c r="C602" s="65" t="s">
        <v>73</v>
      </c>
      <c r="D602" s="46" t="s">
        <v>53</v>
      </c>
      <c r="E602" s="26">
        <v>610</v>
      </c>
      <c r="F602" s="62">
        <f>'прил. 8'!G205</f>
        <v>117.7</v>
      </c>
      <c r="G602" s="62">
        <f>'прил. 8'!H205</f>
        <v>0</v>
      </c>
      <c r="H602" s="49">
        <f t="shared" si="119"/>
        <v>117.7</v>
      </c>
      <c r="I602" s="62">
        <f>'прил. 8'!J205</f>
        <v>0</v>
      </c>
      <c r="J602" s="49">
        <f t="shared" si="113"/>
        <v>117.7</v>
      </c>
      <c r="K602" s="62">
        <f>'прил. 8'!L205</f>
        <v>0</v>
      </c>
      <c r="L602" s="49">
        <f t="shared" si="110"/>
        <v>117.7</v>
      </c>
      <c r="M602" s="62">
        <f>'прил. 8'!N205</f>
        <v>0</v>
      </c>
      <c r="N602" s="49">
        <f t="shared" si="118"/>
        <v>117.7</v>
      </c>
    </row>
    <row r="603" spans="1:14" ht="33" x14ac:dyDescent="0.2">
      <c r="A603" s="50" t="str">
        <f ca="1">IF(ISERROR(MATCH(B603,Код_КЦСР,0)),"",INDIRECT(ADDRESS(MATCH(B603,Код_КЦСР,0)+1,2,,,"КЦСР")))</f>
        <v>Муниципальная программа «Формирование современной городской среды муниципального образования «Город Череповец» на 2018 – 2022 годы</v>
      </c>
      <c r="B603" s="79" t="s">
        <v>710</v>
      </c>
      <c r="C603" s="65"/>
      <c r="D603" s="46"/>
      <c r="E603" s="26"/>
      <c r="F603" s="62"/>
      <c r="G603" s="62"/>
      <c r="H603" s="49"/>
      <c r="I603" s="62"/>
      <c r="J603" s="49"/>
      <c r="K603" s="62"/>
      <c r="L603" s="49"/>
      <c r="M603" s="62">
        <f>M604+M615</f>
        <v>162129.59999999998</v>
      </c>
      <c r="N603" s="49">
        <f t="shared" si="118"/>
        <v>162129.59999999998</v>
      </c>
    </row>
    <row r="604" spans="1:14" x14ac:dyDescent="0.2">
      <c r="A604" s="50" t="str">
        <f ca="1">IF(ISERROR(MATCH(B604,Код_КЦСР,0)),"",INDIRECT(ADDRESS(MATCH(B604,Код_КЦСР,0)+1,2,,,"КЦСР")))</f>
        <v>Благоустройство дворовых территорий многоквартирных домов</v>
      </c>
      <c r="B604" s="79" t="s">
        <v>714</v>
      </c>
      <c r="C604" s="65"/>
      <c r="D604" s="46"/>
      <c r="E604" s="26"/>
      <c r="F604" s="62"/>
      <c r="G604" s="62"/>
      <c r="H604" s="49"/>
      <c r="I604" s="62"/>
      <c r="J604" s="49"/>
      <c r="K604" s="62"/>
      <c r="L604" s="49"/>
      <c r="M604" s="62">
        <f>M605+M610</f>
        <v>108086.39999999999</v>
      </c>
      <c r="N604" s="49">
        <f t="shared" si="118"/>
        <v>108086.39999999999</v>
      </c>
    </row>
    <row r="605" spans="1:14" ht="33" x14ac:dyDescent="0.2">
      <c r="A605" s="50" t="str">
        <f ca="1">IF(ISERROR(MATCH(B605,Код_КЦСР,0)),"",INDIRECT(ADDRESS(MATCH(B605,Код_КЦСР,0)+1,2,,,"КЦСР")))</f>
        <v xml:space="preserve">Благоустройство дворовых территорий многоквартирных домов, в рамках софинансирования </v>
      </c>
      <c r="B605" s="79" t="s">
        <v>712</v>
      </c>
      <c r="C605" s="65"/>
      <c r="D605" s="46"/>
      <c r="E605" s="26"/>
      <c r="F605" s="62"/>
      <c r="G605" s="62"/>
      <c r="H605" s="49"/>
      <c r="I605" s="62"/>
      <c r="J605" s="49"/>
      <c r="K605" s="62"/>
      <c r="L605" s="49"/>
      <c r="M605" s="62">
        <f>M606</f>
        <v>18014.400000000001</v>
      </c>
      <c r="N605" s="49">
        <f t="shared" si="118"/>
        <v>18014.400000000001</v>
      </c>
    </row>
    <row r="606" spans="1:14" x14ac:dyDescent="0.2">
      <c r="A606" s="50" t="str">
        <f ca="1">IF(ISERROR(MATCH(C606,Код_Раздел,0)),"",INDIRECT(ADDRESS(MATCH(C606,Код_Раздел,0)+1,2,,,"Раздел")))</f>
        <v>Жилищно-коммунальное хозяйство</v>
      </c>
      <c r="B606" s="79" t="s">
        <v>712</v>
      </c>
      <c r="C606" s="65" t="s">
        <v>78</v>
      </c>
      <c r="D606" s="46"/>
      <c r="E606" s="26"/>
      <c r="F606" s="62"/>
      <c r="G606" s="62"/>
      <c r="H606" s="49"/>
      <c r="I606" s="62"/>
      <c r="J606" s="49"/>
      <c r="K606" s="62"/>
      <c r="L606" s="49"/>
      <c r="M606" s="62">
        <f>M607</f>
        <v>18014.400000000001</v>
      </c>
      <c r="N606" s="49">
        <f t="shared" si="118"/>
        <v>18014.400000000001</v>
      </c>
    </row>
    <row r="607" spans="1:14" x14ac:dyDescent="0.2">
      <c r="A607" s="45" t="s">
        <v>83</v>
      </c>
      <c r="B607" s="79" t="s">
        <v>712</v>
      </c>
      <c r="C607" s="65" t="s">
        <v>78</v>
      </c>
      <c r="D607" s="65" t="s">
        <v>70</v>
      </c>
      <c r="E607" s="26"/>
      <c r="F607" s="62"/>
      <c r="G607" s="62"/>
      <c r="H607" s="49"/>
      <c r="I607" s="62"/>
      <c r="J607" s="49"/>
      <c r="K607" s="62"/>
      <c r="L607" s="49"/>
      <c r="M607" s="62">
        <f>M608</f>
        <v>18014.400000000001</v>
      </c>
      <c r="N607" s="49">
        <f t="shared" si="118"/>
        <v>18014.400000000001</v>
      </c>
    </row>
    <row r="608" spans="1:14" x14ac:dyDescent="0.2">
      <c r="A608" s="50" t="str">
        <f ca="1">IF(ISERROR(MATCH(E608,Код_КВР,0)),"",INDIRECT(ADDRESS(MATCH(E608,Код_КВР,0)+1,2,,,"КВР")))</f>
        <v>Иные бюджетные ассигнования</v>
      </c>
      <c r="B608" s="79" t="s">
        <v>712</v>
      </c>
      <c r="C608" s="65" t="s">
        <v>78</v>
      </c>
      <c r="D608" s="65" t="s">
        <v>70</v>
      </c>
      <c r="E608" s="26">
        <v>800</v>
      </c>
      <c r="F608" s="62"/>
      <c r="G608" s="62"/>
      <c r="H608" s="49"/>
      <c r="I608" s="62"/>
      <c r="J608" s="49"/>
      <c r="K608" s="62"/>
      <c r="L608" s="49"/>
      <c r="M608" s="62">
        <f>M609</f>
        <v>18014.400000000001</v>
      </c>
      <c r="N608" s="49">
        <f t="shared" si="118"/>
        <v>18014.400000000001</v>
      </c>
    </row>
    <row r="609" spans="1:14" ht="49.5" x14ac:dyDescent="0.2">
      <c r="A609" s="50" t="str">
        <f ca="1">IF(ISERROR(MATCH(E609,Код_КВР,0)),"",INDIRECT(ADDRESS(MATCH(E609,Код_КВР,0)+1,2,,,"КВР")))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609" s="79" t="s">
        <v>712</v>
      </c>
      <c r="C609" s="65" t="s">
        <v>78</v>
      </c>
      <c r="D609" s="65" t="s">
        <v>70</v>
      </c>
      <c r="E609" s="26">
        <v>810</v>
      </c>
      <c r="F609" s="62"/>
      <c r="G609" s="62"/>
      <c r="H609" s="49"/>
      <c r="I609" s="62"/>
      <c r="J609" s="49"/>
      <c r="K609" s="62"/>
      <c r="L609" s="49"/>
      <c r="M609" s="62">
        <f>'прил. 8'!N544</f>
        <v>18014.400000000001</v>
      </c>
      <c r="N609" s="49">
        <f t="shared" si="118"/>
        <v>18014.400000000001</v>
      </c>
    </row>
    <row r="610" spans="1:14" ht="33" x14ac:dyDescent="0.2">
      <c r="A610" s="50" t="str">
        <f ca="1">IF(ISERROR(MATCH(B610,Код_КЦСР,0)),"",INDIRECT(ADDRESS(MATCH(B610,Код_КЦСР,0)+1,2,,,"КЦСР")))</f>
        <v>Благоустройство дворовых территорий многоквартирных домов, за счет средств вышестоящих бюджетов</v>
      </c>
      <c r="B610" s="79" t="s">
        <v>713</v>
      </c>
      <c r="C610" s="65"/>
      <c r="D610" s="46"/>
      <c r="E610" s="26"/>
      <c r="F610" s="62"/>
      <c r="G610" s="62"/>
      <c r="H610" s="49"/>
      <c r="I610" s="62"/>
      <c r="J610" s="49"/>
      <c r="K610" s="62"/>
      <c r="L610" s="49"/>
      <c r="M610" s="62">
        <f>M611</f>
        <v>90072</v>
      </c>
      <c r="N610" s="49">
        <f t="shared" si="118"/>
        <v>90072</v>
      </c>
    </row>
    <row r="611" spans="1:14" x14ac:dyDescent="0.2">
      <c r="A611" s="50" t="str">
        <f ca="1">IF(ISERROR(MATCH(C611,Код_Раздел,0)),"",INDIRECT(ADDRESS(MATCH(C611,Код_Раздел,0)+1,2,,,"Раздел")))</f>
        <v>Жилищно-коммунальное хозяйство</v>
      </c>
      <c r="B611" s="79" t="s">
        <v>713</v>
      </c>
      <c r="C611" s="65" t="s">
        <v>78</v>
      </c>
      <c r="D611" s="46"/>
      <c r="E611" s="26"/>
      <c r="F611" s="62"/>
      <c r="G611" s="62"/>
      <c r="H611" s="49"/>
      <c r="I611" s="62"/>
      <c r="J611" s="49"/>
      <c r="K611" s="62"/>
      <c r="L611" s="49"/>
      <c r="M611" s="62">
        <f>M612</f>
        <v>90072</v>
      </c>
      <c r="N611" s="49">
        <f t="shared" si="118"/>
        <v>90072</v>
      </c>
    </row>
    <row r="612" spans="1:14" x14ac:dyDescent="0.2">
      <c r="A612" s="45" t="s">
        <v>83</v>
      </c>
      <c r="B612" s="79" t="s">
        <v>713</v>
      </c>
      <c r="C612" s="65" t="s">
        <v>78</v>
      </c>
      <c r="D612" s="65" t="s">
        <v>70</v>
      </c>
      <c r="E612" s="26"/>
      <c r="F612" s="62"/>
      <c r="G612" s="62"/>
      <c r="H612" s="49"/>
      <c r="I612" s="62"/>
      <c r="J612" s="49"/>
      <c r="K612" s="62"/>
      <c r="L612" s="49"/>
      <c r="M612" s="62">
        <f>M613</f>
        <v>90072</v>
      </c>
      <c r="N612" s="49">
        <f t="shared" si="118"/>
        <v>90072</v>
      </c>
    </row>
    <row r="613" spans="1:14" ht="17.25" customHeight="1" x14ac:dyDescent="0.2">
      <c r="A613" s="50" t="str">
        <f ca="1">IF(ISERROR(MATCH(E613,Код_КВР,0)),"",INDIRECT(ADDRESS(MATCH(E613,Код_КВР,0)+1,2,,,"КВР")))</f>
        <v>Иные бюджетные ассигнования</v>
      </c>
      <c r="B613" s="79" t="s">
        <v>713</v>
      </c>
      <c r="C613" s="65" t="s">
        <v>78</v>
      </c>
      <c r="D613" s="65" t="s">
        <v>70</v>
      </c>
      <c r="E613" s="26">
        <v>800</v>
      </c>
      <c r="F613" s="62"/>
      <c r="G613" s="62"/>
      <c r="H613" s="49"/>
      <c r="I613" s="62"/>
      <c r="J613" s="49"/>
      <c r="K613" s="62"/>
      <c r="L613" s="49"/>
      <c r="M613" s="62">
        <f>M614</f>
        <v>90072</v>
      </c>
      <c r="N613" s="49">
        <f t="shared" si="118"/>
        <v>90072</v>
      </c>
    </row>
    <row r="614" spans="1:14" ht="49.5" x14ac:dyDescent="0.2">
      <c r="A614" s="50" t="str">
        <f ca="1">IF(ISERROR(MATCH(E614,Код_КВР,0)),"",INDIRECT(ADDRESS(MATCH(E614,Код_КВР,0)+1,2,,,"КВР")))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614" s="79" t="s">
        <v>713</v>
      </c>
      <c r="C614" s="65" t="s">
        <v>78</v>
      </c>
      <c r="D614" s="65" t="s">
        <v>70</v>
      </c>
      <c r="E614" s="26">
        <v>810</v>
      </c>
      <c r="F614" s="62"/>
      <c r="G614" s="62"/>
      <c r="H614" s="49"/>
      <c r="I614" s="62"/>
      <c r="J614" s="49"/>
      <c r="K614" s="62"/>
      <c r="L614" s="49"/>
      <c r="M614" s="62">
        <f>'прил. 8'!N547</f>
        <v>90072</v>
      </c>
      <c r="N614" s="49">
        <f t="shared" si="118"/>
        <v>90072</v>
      </c>
    </row>
    <row r="615" spans="1:14" x14ac:dyDescent="0.2">
      <c r="A615" s="50" t="str">
        <f ca="1">IF(ISERROR(MATCH(B615,Код_КЦСР,0)),"",INDIRECT(ADDRESS(MATCH(B615,Код_КЦСР,0)+1,2,,,"КЦСР")))</f>
        <v>Благоустройство общественных территорий</v>
      </c>
      <c r="B615" s="79" t="s">
        <v>718</v>
      </c>
      <c r="C615" s="65"/>
      <c r="D615" s="46"/>
      <c r="E615" s="26"/>
      <c r="F615" s="62"/>
      <c r="G615" s="62"/>
      <c r="H615" s="49"/>
      <c r="I615" s="62"/>
      <c r="J615" s="49"/>
      <c r="K615" s="62"/>
      <c r="L615" s="49"/>
      <c r="M615" s="62">
        <f>M616+M621</f>
        <v>54043.199999999997</v>
      </c>
      <c r="N615" s="49">
        <f t="shared" si="118"/>
        <v>54043.199999999997</v>
      </c>
    </row>
    <row r="616" spans="1:14" x14ac:dyDescent="0.2">
      <c r="A616" s="50" t="str">
        <f ca="1">IF(ISERROR(MATCH(B616,Код_КЦСР,0)),"",INDIRECT(ADDRESS(MATCH(B616,Код_КЦСР,0)+1,2,,,"КЦСР")))</f>
        <v xml:space="preserve">Благоустройство общественных территорий, в рамках софинансирования </v>
      </c>
      <c r="B616" s="79" t="s">
        <v>719</v>
      </c>
      <c r="C616" s="65"/>
      <c r="D616" s="46"/>
      <c r="E616" s="26"/>
      <c r="F616" s="62"/>
      <c r="G616" s="62"/>
      <c r="H616" s="49"/>
      <c r="I616" s="62"/>
      <c r="J616" s="49"/>
      <c r="K616" s="62"/>
      <c r="L616" s="49"/>
      <c r="M616" s="62">
        <f>M617</f>
        <v>9007.2000000000007</v>
      </c>
      <c r="N616" s="49">
        <f t="shared" si="118"/>
        <v>9007.2000000000007</v>
      </c>
    </row>
    <row r="617" spans="1:14" x14ac:dyDescent="0.2">
      <c r="A617" s="50" t="str">
        <f ca="1">IF(ISERROR(MATCH(C617,Код_Раздел,0)),"",INDIRECT(ADDRESS(MATCH(C617,Код_Раздел,0)+1,2,,,"Раздел")))</f>
        <v>Жилищно-коммунальное хозяйство</v>
      </c>
      <c r="B617" s="79" t="s">
        <v>719</v>
      </c>
      <c r="C617" s="65" t="s">
        <v>78</v>
      </c>
      <c r="D617" s="46"/>
      <c r="E617" s="26"/>
      <c r="F617" s="62"/>
      <c r="G617" s="62"/>
      <c r="H617" s="49"/>
      <c r="I617" s="62"/>
      <c r="J617" s="49"/>
      <c r="K617" s="62"/>
      <c r="L617" s="49"/>
      <c r="M617" s="62">
        <f>M618</f>
        <v>9007.2000000000007</v>
      </c>
      <c r="N617" s="49">
        <f t="shared" si="118"/>
        <v>9007.2000000000007</v>
      </c>
    </row>
    <row r="618" spans="1:14" x14ac:dyDescent="0.2">
      <c r="A618" s="50" t="s">
        <v>104</v>
      </c>
      <c r="B618" s="79" t="s">
        <v>719</v>
      </c>
      <c r="C618" s="65" t="s">
        <v>78</v>
      </c>
      <c r="D618" s="65" t="s">
        <v>72</v>
      </c>
      <c r="E618" s="26"/>
      <c r="F618" s="62"/>
      <c r="G618" s="62"/>
      <c r="H618" s="49"/>
      <c r="I618" s="62"/>
      <c r="J618" s="49"/>
      <c r="K618" s="62"/>
      <c r="L618" s="49"/>
      <c r="M618" s="62">
        <f>M619</f>
        <v>9007.2000000000007</v>
      </c>
      <c r="N618" s="49">
        <f t="shared" si="118"/>
        <v>9007.2000000000007</v>
      </c>
    </row>
    <row r="619" spans="1:14" ht="33" x14ac:dyDescent="0.2">
      <c r="A619" s="50" t="str">
        <f ca="1">IF(ISERROR(MATCH(E619,Код_КВР,0)),"",INDIRECT(ADDRESS(MATCH(E619,Код_КВР,0)+1,2,,,"КВР")))</f>
        <v>Закупка товаров, работ и услуг для обеспечения государственных (муниципальных) нужд</v>
      </c>
      <c r="B619" s="79" t="s">
        <v>719</v>
      </c>
      <c r="C619" s="65" t="s">
        <v>78</v>
      </c>
      <c r="D619" s="65" t="s">
        <v>72</v>
      </c>
      <c r="E619" s="26">
        <v>200</v>
      </c>
      <c r="F619" s="62"/>
      <c r="G619" s="62"/>
      <c r="H619" s="49"/>
      <c r="I619" s="62"/>
      <c r="J619" s="49"/>
      <c r="K619" s="62"/>
      <c r="L619" s="49"/>
      <c r="M619" s="62">
        <f>M620</f>
        <v>9007.2000000000007</v>
      </c>
      <c r="N619" s="49">
        <f t="shared" si="118"/>
        <v>9007.2000000000007</v>
      </c>
    </row>
    <row r="620" spans="1:14" ht="33" x14ac:dyDescent="0.2">
      <c r="A620" s="50" t="str">
        <f ca="1">IF(ISERROR(MATCH(E620,Код_КВР,0)),"",INDIRECT(ADDRESS(MATCH(E620,Код_КВР,0)+1,2,,,"КВР")))</f>
        <v>Иные закупки товаров, работ и услуг для обеспечения государственных (муниципальных) нужд</v>
      </c>
      <c r="B620" s="79" t="s">
        <v>719</v>
      </c>
      <c r="C620" s="65" t="s">
        <v>78</v>
      </c>
      <c r="D620" s="65" t="s">
        <v>72</v>
      </c>
      <c r="E620" s="26">
        <v>240</v>
      </c>
      <c r="F620" s="62"/>
      <c r="G620" s="62"/>
      <c r="H620" s="49"/>
      <c r="I620" s="62"/>
      <c r="J620" s="49"/>
      <c r="K620" s="62"/>
      <c r="L620" s="49"/>
      <c r="M620" s="62">
        <f>'прил. 8'!N1197</f>
        <v>9007.2000000000007</v>
      </c>
      <c r="N620" s="49">
        <f t="shared" si="118"/>
        <v>9007.2000000000007</v>
      </c>
    </row>
    <row r="621" spans="1:14" ht="33" x14ac:dyDescent="0.2">
      <c r="A621" s="50" t="str">
        <f ca="1">IF(ISERROR(MATCH(B621,Код_КЦСР,0)),"",INDIRECT(ADDRESS(MATCH(B621,Код_КЦСР,0)+1,2,,,"КЦСР")))</f>
        <v>Благоустройство общественных территорий, за счет средств вышестоящих бюджетов</v>
      </c>
      <c r="B621" s="79" t="s">
        <v>720</v>
      </c>
      <c r="C621" s="65"/>
      <c r="D621" s="46"/>
      <c r="E621" s="26"/>
      <c r="F621" s="62"/>
      <c r="G621" s="62"/>
      <c r="H621" s="49"/>
      <c r="I621" s="62"/>
      <c r="J621" s="49"/>
      <c r="K621" s="62"/>
      <c r="L621" s="49"/>
      <c r="M621" s="62">
        <f>M622</f>
        <v>45036</v>
      </c>
      <c r="N621" s="49">
        <f t="shared" si="118"/>
        <v>45036</v>
      </c>
    </row>
    <row r="622" spans="1:14" x14ac:dyDescent="0.2">
      <c r="A622" s="50" t="str">
        <f ca="1">IF(ISERROR(MATCH(C622,Код_Раздел,0)),"",INDIRECT(ADDRESS(MATCH(C622,Код_Раздел,0)+1,2,,,"Раздел")))</f>
        <v>Жилищно-коммунальное хозяйство</v>
      </c>
      <c r="B622" s="79" t="s">
        <v>720</v>
      </c>
      <c r="C622" s="65" t="s">
        <v>78</v>
      </c>
      <c r="D622" s="46"/>
      <c r="E622" s="26"/>
      <c r="F622" s="62"/>
      <c r="G622" s="62"/>
      <c r="H622" s="49"/>
      <c r="I622" s="62"/>
      <c r="J622" s="49"/>
      <c r="K622" s="62"/>
      <c r="L622" s="49"/>
      <c r="M622" s="62">
        <f>M623</f>
        <v>45036</v>
      </c>
      <c r="N622" s="49">
        <f t="shared" si="118"/>
        <v>45036</v>
      </c>
    </row>
    <row r="623" spans="1:14" x14ac:dyDescent="0.2">
      <c r="A623" s="50" t="s">
        <v>104</v>
      </c>
      <c r="B623" s="79" t="s">
        <v>720</v>
      </c>
      <c r="C623" s="65" t="s">
        <v>78</v>
      </c>
      <c r="D623" s="65" t="s">
        <v>72</v>
      </c>
      <c r="E623" s="26"/>
      <c r="F623" s="62"/>
      <c r="G623" s="62"/>
      <c r="H623" s="49"/>
      <c r="I623" s="62"/>
      <c r="J623" s="49"/>
      <c r="K623" s="62"/>
      <c r="L623" s="49"/>
      <c r="M623" s="62">
        <f>M624</f>
        <v>45036</v>
      </c>
      <c r="N623" s="49">
        <f t="shared" si="118"/>
        <v>45036</v>
      </c>
    </row>
    <row r="624" spans="1:14" ht="33" x14ac:dyDescent="0.2">
      <c r="A624" s="50" t="str">
        <f ca="1">IF(ISERROR(MATCH(E624,Код_КВР,0)),"",INDIRECT(ADDRESS(MATCH(E624,Код_КВР,0)+1,2,,,"КВР")))</f>
        <v>Закупка товаров, работ и услуг для обеспечения государственных (муниципальных) нужд</v>
      </c>
      <c r="B624" s="79" t="s">
        <v>720</v>
      </c>
      <c r="C624" s="65" t="s">
        <v>78</v>
      </c>
      <c r="D624" s="65" t="s">
        <v>72</v>
      </c>
      <c r="E624" s="26">
        <v>200</v>
      </c>
      <c r="F624" s="62"/>
      <c r="G624" s="62"/>
      <c r="H624" s="49"/>
      <c r="I624" s="62"/>
      <c r="J624" s="49"/>
      <c r="K624" s="62"/>
      <c r="L624" s="49"/>
      <c r="M624" s="62">
        <f>M625</f>
        <v>45036</v>
      </c>
      <c r="N624" s="49">
        <f t="shared" si="118"/>
        <v>45036</v>
      </c>
    </row>
    <row r="625" spans="1:14" ht="33" x14ac:dyDescent="0.2">
      <c r="A625" s="50" t="str">
        <f ca="1">IF(ISERROR(MATCH(E625,Код_КВР,0)),"",INDIRECT(ADDRESS(MATCH(E625,Код_КВР,0)+1,2,,,"КВР")))</f>
        <v>Иные закупки товаров, работ и услуг для обеспечения государственных (муниципальных) нужд</v>
      </c>
      <c r="B625" s="79" t="s">
        <v>720</v>
      </c>
      <c r="C625" s="65" t="s">
        <v>78</v>
      </c>
      <c r="D625" s="65" t="s">
        <v>72</v>
      </c>
      <c r="E625" s="26">
        <v>240</v>
      </c>
      <c r="F625" s="62"/>
      <c r="G625" s="62"/>
      <c r="H625" s="49"/>
      <c r="I625" s="62"/>
      <c r="J625" s="49"/>
      <c r="K625" s="62"/>
      <c r="L625" s="49"/>
      <c r="M625" s="62">
        <f>'прил. 8'!N1200</f>
        <v>45036</v>
      </c>
      <c r="N625" s="49">
        <f t="shared" si="118"/>
        <v>45036</v>
      </c>
    </row>
    <row r="626" spans="1:14" ht="33" x14ac:dyDescent="0.2">
      <c r="A626" s="50" t="str">
        <f ca="1">IF(ISERROR(MATCH(B626,Код_КЦСР,0)),"",INDIRECT(ADDRESS(MATCH(B626,Код_КЦСР,0)+1,2,,,"КЦСР")))</f>
        <v>Муниципальная программа «Социальная поддержка граждан» на 2014 – 2022 годы</v>
      </c>
      <c r="B626" s="79" t="s">
        <v>311</v>
      </c>
      <c r="C626" s="65"/>
      <c r="D626" s="46"/>
      <c r="E626" s="26"/>
      <c r="F626" s="62">
        <f>F627+F647+F654+F661+F668+F675+F682+F687+F632+F697</f>
        <v>60691.8</v>
      </c>
      <c r="G626" s="62">
        <f>G627+G647+G654+G661+G668+G675+G682+G687+G632+G697</f>
        <v>0</v>
      </c>
      <c r="H626" s="49">
        <f t="shared" si="119"/>
        <v>60691.8</v>
      </c>
      <c r="I626" s="62">
        <f>I627+I647+I654+I661+I668+I675+I682+I687+I632+I697</f>
        <v>0</v>
      </c>
      <c r="J626" s="49">
        <f t="shared" si="113"/>
        <v>60691.8</v>
      </c>
      <c r="K626" s="62">
        <f>K627+K647+K654+K661+K668+K675+K682+K687+K632+K697</f>
        <v>0</v>
      </c>
      <c r="L626" s="49">
        <f t="shared" si="110"/>
        <v>60691.8</v>
      </c>
      <c r="M626" s="62">
        <f>M627+M647+M654+M661+M668+M675+M682+M687+M632+M697</f>
        <v>0</v>
      </c>
      <c r="N626" s="49">
        <f t="shared" si="118"/>
        <v>60691.8</v>
      </c>
    </row>
    <row r="627" spans="1:14" ht="49.5" x14ac:dyDescent="0.2">
      <c r="A627" s="50" t="str">
        <f ca="1">IF(ISERROR(MATCH(B627,Код_КЦСР,0)),"",INDIRECT(ADDRESS(MATCH(B627,Код_КЦСР,0)+1,2,,,"КЦСР")))</f>
        <v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v>
      </c>
      <c r="B627" s="79" t="s">
        <v>312</v>
      </c>
      <c r="C627" s="65"/>
      <c r="D627" s="46"/>
      <c r="E627" s="26"/>
      <c r="F627" s="62">
        <f t="shared" ref="F627:M629" si="121">F628</f>
        <v>962.5</v>
      </c>
      <c r="G627" s="62">
        <f t="shared" si="121"/>
        <v>0</v>
      </c>
      <c r="H627" s="49">
        <f t="shared" si="119"/>
        <v>962.5</v>
      </c>
      <c r="I627" s="62">
        <f t="shared" si="121"/>
        <v>0</v>
      </c>
      <c r="J627" s="49">
        <f t="shared" si="113"/>
        <v>962.5</v>
      </c>
      <c r="K627" s="62">
        <f t="shared" si="121"/>
        <v>0</v>
      </c>
      <c r="L627" s="49">
        <f t="shared" si="110"/>
        <v>962.5</v>
      </c>
      <c r="M627" s="62">
        <f t="shared" si="121"/>
        <v>0</v>
      </c>
      <c r="N627" s="49">
        <f t="shared" si="118"/>
        <v>962.5</v>
      </c>
    </row>
    <row r="628" spans="1:14" x14ac:dyDescent="0.2">
      <c r="A628" s="50" t="str">
        <f ca="1">IF(ISERROR(MATCH(C628,Код_Раздел,0)),"",INDIRECT(ADDRESS(MATCH(C628,Код_Раздел,0)+1,2,,,"Раздел")))</f>
        <v>Социальная политика</v>
      </c>
      <c r="B628" s="79" t="s">
        <v>312</v>
      </c>
      <c r="C628" s="65" t="s">
        <v>53</v>
      </c>
      <c r="D628" s="46"/>
      <c r="E628" s="26"/>
      <c r="F628" s="62">
        <f t="shared" si="121"/>
        <v>962.5</v>
      </c>
      <c r="G628" s="62">
        <f t="shared" si="121"/>
        <v>0</v>
      </c>
      <c r="H628" s="49">
        <f t="shared" si="119"/>
        <v>962.5</v>
      </c>
      <c r="I628" s="62">
        <f t="shared" si="121"/>
        <v>0</v>
      </c>
      <c r="J628" s="49">
        <f t="shared" si="113"/>
        <v>962.5</v>
      </c>
      <c r="K628" s="62">
        <f t="shared" si="121"/>
        <v>0</v>
      </c>
      <c r="L628" s="49">
        <f t="shared" si="110"/>
        <v>962.5</v>
      </c>
      <c r="M628" s="62">
        <f t="shared" si="121"/>
        <v>0</v>
      </c>
      <c r="N628" s="49">
        <f t="shared" si="118"/>
        <v>962.5</v>
      </c>
    </row>
    <row r="629" spans="1:14" x14ac:dyDescent="0.2">
      <c r="A629" s="45" t="s">
        <v>66</v>
      </c>
      <c r="B629" s="79" t="s">
        <v>312</v>
      </c>
      <c r="C629" s="65" t="s">
        <v>53</v>
      </c>
      <c r="D629" s="65" t="s">
        <v>73</v>
      </c>
      <c r="E629" s="26"/>
      <c r="F629" s="62">
        <f t="shared" si="121"/>
        <v>962.5</v>
      </c>
      <c r="G629" s="62">
        <f t="shared" si="121"/>
        <v>0</v>
      </c>
      <c r="H629" s="49">
        <f t="shared" si="119"/>
        <v>962.5</v>
      </c>
      <c r="I629" s="62">
        <f t="shared" si="121"/>
        <v>0</v>
      </c>
      <c r="J629" s="49">
        <f t="shared" si="113"/>
        <v>962.5</v>
      </c>
      <c r="K629" s="62">
        <f t="shared" si="121"/>
        <v>0</v>
      </c>
      <c r="L629" s="49">
        <f t="shared" si="110"/>
        <v>962.5</v>
      </c>
      <c r="M629" s="62">
        <f t="shared" si="121"/>
        <v>0</v>
      </c>
      <c r="N629" s="49">
        <f t="shared" si="118"/>
        <v>962.5</v>
      </c>
    </row>
    <row r="630" spans="1:14" x14ac:dyDescent="0.2">
      <c r="A630" s="50" t="str">
        <f ca="1">IF(ISERROR(MATCH(E630,Код_КВР,0)),"",INDIRECT(ADDRESS(MATCH(E630,Код_КВР,0)+1,2,,,"КВР")))</f>
        <v>Социальное обеспечение и иные выплаты населению</v>
      </c>
      <c r="B630" s="79" t="s">
        <v>312</v>
      </c>
      <c r="C630" s="65" t="s">
        <v>53</v>
      </c>
      <c r="D630" s="65" t="s">
        <v>73</v>
      </c>
      <c r="E630" s="26">
        <v>300</v>
      </c>
      <c r="F630" s="62">
        <f>F631</f>
        <v>962.5</v>
      </c>
      <c r="G630" s="62">
        <f>G631</f>
        <v>0</v>
      </c>
      <c r="H630" s="49">
        <f t="shared" si="119"/>
        <v>962.5</v>
      </c>
      <c r="I630" s="62">
        <f>I631</f>
        <v>0</v>
      </c>
      <c r="J630" s="49">
        <f t="shared" si="113"/>
        <v>962.5</v>
      </c>
      <c r="K630" s="62">
        <f>K631</f>
        <v>0</v>
      </c>
      <c r="L630" s="49">
        <f t="shared" si="110"/>
        <v>962.5</v>
      </c>
      <c r="M630" s="62">
        <f>M631</f>
        <v>0</v>
      </c>
      <c r="N630" s="49">
        <f t="shared" si="118"/>
        <v>962.5</v>
      </c>
    </row>
    <row r="631" spans="1:14" ht="33" x14ac:dyDescent="0.2">
      <c r="A631" s="50" t="str">
        <f ca="1">IF(ISERROR(MATCH(E631,Код_КВР,0)),"",INDIRECT(ADDRESS(MATCH(E631,Код_КВР,0)+1,2,,,"КВР")))</f>
        <v>Социальные выплаты гражданам, кроме публичных нормативных социальных выплат</v>
      </c>
      <c r="B631" s="79" t="s">
        <v>312</v>
      </c>
      <c r="C631" s="65" t="s">
        <v>53</v>
      </c>
      <c r="D631" s="65" t="s">
        <v>73</v>
      </c>
      <c r="E631" s="26">
        <v>320</v>
      </c>
      <c r="F631" s="62">
        <f>'прил. 8'!G431</f>
        <v>962.5</v>
      </c>
      <c r="G631" s="62">
        <f>'прил. 8'!H431</f>
        <v>0</v>
      </c>
      <c r="H631" s="49">
        <f t="shared" si="119"/>
        <v>962.5</v>
      </c>
      <c r="I631" s="62">
        <f>'прил. 8'!J431</f>
        <v>0</v>
      </c>
      <c r="J631" s="49">
        <f t="shared" si="113"/>
        <v>962.5</v>
      </c>
      <c r="K631" s="62">
        <f>'прил. 8'!L431</f>
        <v>0</v>
      </c>
      <c r="L631" s="49">
        <f t="shared" si="110"/>
        <v>962.5</v>
      </c>
      <c r="M631" s="62">
        <f>'прил. 8'!N431</f>
        <v>0</v>
      </c>
      <c r="N631" s="49">
        <f t="shared" si="118"/>
        <v>962.5</v>
      </c>
    </row>
    <row r="632" spans="1:14" ht="49.5" x14ac:dyDescent="0.2">
      <c r="A632" s="50" t="str">
        <f ca="1">IF(ISERROR(MATCH(B632,Код_КЦСР,0)),"",INDIRECT(ADDRESS(MATCH(B632,Код_КЦСР,0)+1,2,,,"КЦСР")))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v>
      </c>
      <c r="B632" s="79" t="s">
        <v>484</v>
      </c>
      <c r="C632" s="65"/>
      <c r="D632" s="46"/>
      <c r="E632" s="26"/>
      <c r="F632" s="62">
        <f>F640+F633</f>
        <v>1322.8</v>
      </c>
      <c r="G632" s="62">
        <f>G640+G633</f>
        <v>0</v>
      </c>
      <c r="H632" s="49">
        <f t="shared" si="119"/>
        <v>1322.8</v>
      </c>
      <c r="I632" s="62">
        <f>I640+I633</f>
        <v>0</v>
      </c>
      <c r="J632" s="49">
        <f t="shared" si="113"/>
        <v>1322.8</v>
      </c>
      <c r="K632" s="62">
        <f>K640+K633</f>
        <v>0</v>
      </c>
      <c r="L632" s="49">
        <f t="shared" si="110"/>
        <v>1322.8</v>
      </c>
      <c r="M632" s="62">
        <f>M640+M633</f>
        <v>0</v>
      </c>
      <c r="N632" s="49">
        <f t="shared" si="118"/>
        <v>1322.8</v>
      </c>
    </row>
    <row r="633" spans="1:14" ht="66" x14ac:dyDescent="0.2">
      <c r="A633" s="50" t="str">
        <f ca="1">IF(ISERROR(MATCH(B633,Код_КЦСР,0)),"",INDIRECT(ADDRESS(MATCH(B633,Код_КЦСР,0)+1,2,,,"КЦСР")))</f>
        <v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отдыха, в рамках софинансирования с областным бюджетом </v>
      </c>
      <c r="B633" s="79" t="s">
        <v>496</v>
      </c>
      <c r="C633" s="65"/>
      <c r="D633" s="46"/>
      <c r="E633" s="26"/>
      <c r="F633" s="62">
        <f t="shared" ref="F633:M634" si="122">F634</f>
        <v>26.5</v>
      </c>
      <c r="G633" s="62">
        <f t="shared" si="122"/>
        <v>0</v>
      </c>
      <c r="H633" s="49">
        <f t="shared" si="119"/>
        <v>26.5</v>
      </c>
      <c r="I633" s="62">
        <f t="shared" si="122"/>
        <v>0</v>
      </c>
      <c r="J633" s="49">
        <f t="shared" si="113"/>
        <v>26.5</v>
      </c>
      <c r="K633" s="62">
        <f t="shared" si="122"/>
        <v>0</v>
      </c>
      <c r="L633" s="49">
        <f t="shared" si="110"/>
        <v>26.5</v>
      </c>
      <c r="M633" s="62">
        <f t="shared" si="122"/>
        <v>0</v>
      </c>
      <c r="N633" s="49">
        <f t="shared" si="118"/>
        <v>26.5</v>
      </c>
    </row>
    <row r="634" spans="1:14" x14ac:dyDescent="0.2">
      <c r="A634" s="50" t="str">
        <f ca="1">IF(ISERROR(MATCH(C634,Код_Раздел,0)),"",INDIRECT(ADDRESS(MATCH(C634,Код_Раздел,0)+1,2,,,"Раздел")))</f>
        <v>Социальная политика</v>
      </c>
      <c r="B634" s="79" t="s">
        <v>496</v>
      </c>
      <c r="C634" s="65" t="s">
        <v>53</v>
      </c>
      <c r="D634" s="46"/>
      <c r="E634" s="26"/>
      <c r="F634" s="62">
        <f t="shared" si="122"/>
        <v>26.5</v>
      </c>
      <c r="G634" s="62">
        <f t="shared" si="122"/>
        <v>0</v>
      </c>
      <c r="H634" s="49">
        <f t="shared" si="119"/>
        <v>26.5</v>
      </c>
      <c r="I634" s="62">
        <f t="shared" si="122"/>
        <v>0</v>
      </c>
      <c r="J634" s="49">
        <f t="shared" si="113"/>
        <v>26.5</v>
      </c>
      <c r="K634" s="62">
        <f t="shared" si="122"/>
        <v>0</v>
      </c>
      <c r="L634" s="49">
        <f t="shared" si="110"/>
        <v>26.5</v>
      </c>
      <c r="M634" s="62">
        <f t="shared" si="122"/>
        <v>0</v>
      </c>
      <c r="N634" s="49">
        <f t="shared" si="118"/>
        <v>26.5</v>
      </c>
    </row>
    <row r="635" spans="1:14" x14ac:dyDescent="0.2">
      <c r="A635" s="45" t="s">
        <v>54</v>
      </c>
      <c r="B635" s="79" t="s">
        <v>496</v>
      </c>
      <c r="C635" s="65" t="s">
        <v>53</v>
      </c>
      <c r="D635" s="65" t="s">
        <v>74</v>
      </c>
      <c r="E635" s="26"/>
      <c r="F635" s="62">
        <f>F638+F636</f>
        <v>26.5</v>
      </c>
      <c r="G635" s="62">
        <f>G638+G636</f>
        <v>0</v>
      </c>
      <c r="H635" s="49">
        <f t="shared" si="119"/>
        <v>26.5</v>
      </c>
      <c r="I635" s="62">
        <f>I638+I636</f>
        <v>0</v>
      </c>
      <c r="J635" s="49">
        <f t="shared" si="113"/>
        <v>26.5</v>
      </c>
      <c r="K635" s="62">
        <f>K638+K636</f>
        <v>0</v>
      </c>
      <c r="L635" s="49">
        <f t="shared" si="110"/>
        <v>26.5</v>
      </c>
      <c r="M635" s="62">
        <f>M638+M636</f>
        <v>0</v>
      </c>
      <c r="N635" s="49">
        <f t="shared" si="118"/>
        <v>26.5</v>
      </c>
    </row>
    <row r="636" spans="1:14" ht="33" x14ac:dyDescent="0.2">
      <c r="A636" s="50" t="str">
        <f ca="1">IF(ISERROR(MATCH(E636,Код_КВР,0)),"",INDIRECT(ADDRESS(MATCH(E636,Код_КВР,0)+1,2,,,"КВР")))</f>
        <v>Закупка товаров, работ и услуг для обеспечения государственных (муниципальных) нужд</v>
      </c>
      <c r="B636" s="79" t="s">
        <v>496</v>
      </c>
      <c r="C636" s="65" t="s">
        <v>53</v>
      </c>
      <c r="D636" s="65" t="s">
        <v>74</v>
      </c>
      <c r="E636" s="26">
        <v>200</v>
      </c>
      <c r="F636" s="62">
        <f>F637</f>
        <v>26.5</v>
      </c>
      <c r="G636" s="62">
        <f>G637</f>
        <v>0</v>
      </c>
      <c r="H636" s="49">
        <f t="shared" si="119"/>
        <v>26.5</v>
      </c>
      <c r="I636" s="62">
        <f>I637</f>
        <v>0</v>
      </c>
      <c r="J636" s="49">
        <f t="shared" si="113"/>
        <v>26.5</v>
      </c>
      <c r="K636" s="62">
        <f>K637</f>
        <v>0</v>
      </c>
      <c r="L636" s="49">
        <f t="shared" si="110"/>
        <v>26.5</v>
      </c>
      <c r="M636" s="62">
        <f>M637</f>
        <v>0</v>
      </c>
      <c r="N636" s="49">
        <f t="shared" si="118"/>
        <v>26.5</v>
      </c>
    </row>
    <row r="637" spans="1:14" ht="33" x14ac:dyDescent="0.2">
      <c r="A637" s="50" t="str">
        <f ca="1">IF(ISERROR(MATCH(E637,Код_КВР,0)),"",INDIRECT(ADDRESS(MATCH(E637,Код_КВР,0)+1,2,,,"КВР")))</f>
        <v>Иные закупки товаров, работ и услуг для обеспечения государственных (муниципальных) нужд</v>
      </c>
      <c r="B637" s="79" t="s">
        <v>496</v>
      </c>
      <c r="C637" s="65" t="s">
        <v>53</v>
      </c>
      <c r="D637" s="65" t="s">
        <v>74</v>
      </c>
      <c r="E637" s="26">
        <v>240</v>
      </c>
      <c r="F637" s="62">
        <f>'прил. 8'!G1295</f>
        <v>26.5</v>
      </c>
      <c r="G637" s="62">
        <f>'прил. 8'!H1295</f>
        <v>0</v>
      </c>
      <c r="H637" s="49">
        <f t="shared" si="119"/>
        <v>26.5</v>
      </c>
      <c r="I637" s="62">
        <f>'прил. 8'!J1295</f>
        <v>0</v>
      </c>
      <c r="J637" s="49">
        <f t="shared" si="113"/>
        <v>26.5</v>
      </c>
      <c r="K637" s="62">
        <f>'прил. 8'!L1295</f>
        <v>0</v>
      </c>
      <c r="L637" s="49">
        <f t="shared" si="110"/>
        <v>26.5</v>
      </c>
      <c r="M637" s="62">
        <f>'прил. 8'!N1295</f>
        <v>0</v>
      </c>
      <c r="N637" s="49">
        <f t="shared" si="118"/>
        <v>26.5</v>
      </c>
    </row>
    <row r="638" spans="1:14" ht="33" hidden="1" x14ac:dyDescent="0.2">
      <c r="A638" s="50" t="str">
        <f ca="1">IF(ISERROR(MATCH(E638,Код_КВР,0)),"",INDIRECT(ADDRESS(MATCH(E638,Код_КВР,0)+1,2,,,"КВР")))</f>
        <v>Капитальные вложения в объекты государственной (муниципальной) собственности</v>
      </c>
      <c r="B638" s="79" t="s">
        <v>496</v>
      </c>
      <c r="C638" s="65" t="s">
        <v>53</v>
      </c>
      <c r="D638" s="65" t="s">
        <v>74</v>
      </c>
      <c r="E638" s="26">
        <v>400</v>
      </c>
      <c r="F638" s="62">
        <f>F639</f>
        <v>0</v>
      </c>
      <c r="G638" s="62">
        <f>G639</f>
        <v>0</v>
      </c>
      <c r="H638" s="49">
        <f t="shared" si="119"/>
        <v>0</v>
      </c>
      <c r="I638" s="62">
        <f>I639</f>
        <v>0</v>
      </c>
      <c r="J638" s="49">
        <f t="shared" si="113"/>
        <v>0</v>
      </c>
      <c r="K638" s="62">
        <f>K639</f>
        <v>0</v>
      </c>
      <c r="L638" s="49">
        <f t="shared" si="110"/>
        <v>0</v>
      </c>
      <c r="M638" s="62">
        <f>M639</f>
        <v>0</v>
      </c>
      <c r="N638" s="49">
        <f t="shared" si="118"/>
        <v>0</v>
      </c>
    </row>
    <row r="639" spans="1:14" hidden="1" x14ac:dyDescent="0.2">
      <c r="A639" s="50" t="str">
        <f ca="1">IF(ISERROR(MATCH(E639,Код_КВР,0)),"",INDIRECT(ADDRESS(MATCH(E639,Код_КВР,0)+1,2,,,"КВР")))</f>
        <v>Бюджетные инвестиции</v>
      </c>
      <c r="B639" s="79" t="s">
        <v>496</v>
      </c>
      <c r="C639" s="65" t="s">
        <v>53</v>
      </c>
      <c r="D639" s="65" t="s">
        <v>74</v>
      </c>
      <c r="E639" s="26">
        <v>410</v>
      </c>
      <c r="F639" s="62">
        <f>'прил. 8'!G1297</f>
        <v>0</v>
      </c>
      <c r="G639" s="62">
        <f>'прил. 8'!H1297</f>
        <v>0</v>
      </c>
      <c r="H639" s="49">
        <f t="shared" si="119"/>
        <v>0</v>
      </c>
      <c r="I639" s="62">
        <f>'прил. 8'!J1297</f>
        <v>0</v>
      </c>
      <c r="J639" s="49">
        <f t="shared" si="113"/>
        <v>0</v>
      </c>
      <c r="K639" s="62">
        <f>'прил. 8'!L1297</f>
        <v>0</v>
      </c>
      <c r="L639" s="49">
        <f t="shared" si="110"/>
        <v>0</v>
      </c>
      <c r="M639" s="62">
        <f>'прил. 8'!N1297</f>
        <v>0</v>
      </c>
      <c r="N639" s="49">
        <f t="shared" si="118"/>
        <v>0</v>
      </c>
    </row>
    <row r="640" spans="1:14" ht="66" x14ac:dyDescent="0.2">
      <c r="A640" s="50" t="str">
        <f ca="1">IF(ISERROR(MATCH(B640,Код_КЦСР,0)),"",INDIRECT(ADDRESS(MATCH(B640,Код_КЦСР,0)+1,2,,,"КЦСР")))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отдыха, за счет средств областного бюджета</v>
      </c>
      <c r="B640" s="79" t="s">
        <v>486</v>
      </c>
      <c r="C640" s="65"/>
      <c r="D640" s="46"/>
      <c r="E640" s="26"/>
      <c r="F640" s="62">
        <f t="shared" ref="F640:M641" si="123">F641</f>
        <v>1296.3</v>
      </c>
      <c r="G640" s="62">
        <f t="shared" si="123"/>
        <v>0</v>
      </c>
      <c r="H640" s="49">
        <f t="shared" si="119"/>
        <v>1296.3</v>
      </c>
      <c r="I640" s="62">
        <f t="shared" si="123"/>
        <v>0</v>
      </c>
      <c r="J640" s="49">
        <f t="shared" si="113"/>
        <v>1296.3</v>
      </c>
      <c r="K640" s="62">
        <f t="shared" si="123"/>
        <v>0</v>
      </c>
      <c r="L640" s="49">
        <f t="shared" si="110"/>
        <v>1296.3</v>
      </c>
      <c r="M640" s="62">
        <f t="shared" si="123"/>
        <v>0</v>
      </c>
      <c r="N640" s="49">
        <f t="shared" si="118"/>
        <v>1296.3</v>
      </c>
    </row>
    <row r="641" spans="1:14" x14ac:dyDescent="0.2">
      <c r="A641" s="50" t="str">
        <f ca="1">IF(ISERROR(MATCH(C641,Код_Раздел,0)),"",INDIRECT(ADDRESS(MATCH(C641,Код_Раздел,0)+1,2,,,"Раздел")))</f>
        <v>Социальная политика</v>
      </c>
      <c r="B641" s="79" t="s">
        <v>486</v>
      </c>
      <c r="C641" s="65" t="s">
        <v>53</v>
      </c>
      <c r="D641" s="46"/>
      <c r="E641" s="26"/>
      <c r="F641" s="62">
        <f t="shared" si="123"/>
        <v>1296.3</v>
      </c>
      <c r="G641" s="62">
        <f t="shared" si="123"/>
        <v>0</v>
      </c>
      <c r="H641" s="49">
        <f t="shared" si="119"/>
        <v>1296.3</v>
      </c>
      <c r="I641" s="62">
        <f t="shared" si="123"/>
        <v>0</v>
      </c>
      <c r="J641" s="49">
        <f t="shared" si="113"/>
        <v>1296.3</v>
      </c>
      <c r="K641" s="62">
        <f t="shared" si="123"/>
        <v>0</v>
      </c>
      <c r="L641" s="49">
        <f t="shared" si="110"/>
        <v>1296.3</v>
      </c>
      <c r="M641" s="62">
        <f t="shared" si="123"/>
        <v>0</v>
      </c>
      <c r="N641" s="49">
        <f t="shared" si="118"/>
        <v>1296.3</v>
      </c>
    </row>
    <row r="642" spans="1:14" x14ac:dyDescent="0.2">
      <c r="A642" s="45" t="s">
        <v>54</v>
      </c>
      <c r="B642" s="79" t="s">
        <v>486</v>
      </c>
      <c r="C642" s="65" t="s">
        <v>53</v>
      </c>
      <c r="D642" s="65" t="s">
        <v>74</v>
      </c>
      <c r="E642" s="26"/>
      <c r="F642" s="62">
        <f>F645+F643</f>
        <v>1296.3</v>
      </c>
      <c r="G642" s="62">
        <f>G645+G643</f>
        <v>0</v>
      </c>
      <c r="H642" s="49">
        <f t="shared" si="119"/>
        <v>1296.3</v>
      </c>
      <c r="I642" s="62">
        <f>I645+I643</f>
        <v>0</v>
      </c>
      <c r="J642" s="49">
        <f t="shared" si="113"/>
        <v>1296.3</v>
      </c>
      <c r="K642" s="62">
        <f>K645+K643</f>
        <v>0</v>
      </c>
      <c r="L642" s="49">
        <f t="shared" si="110"/>
        <v>1296.3</v>
      </c>
      <c r="M642" s="62">
        <f>M645+M643</f>
        <v>0</v>
      </c>
      <c r="N642" s="49">
        <f t="shared" si="118"/>
        <v>1296.3</v>
      </c>
    </row>
    <row r="643" spans="1:14" ht="33" x14ac:dyDescent="0.2">
      <c r="A643" s="50" t="str">
        <f ca="1">IF(ISERROR(MATCH(E643,Код_КВР,0)),"",INDIRECT(ADDRESS(MATCH(E643,Код_КВР,0)+1,2,,,"КВР")))</f>
        <v>Закупка товаров, работ и услуг для обеспечения государственных (муниципальных) нужд</v>
      </c>
      <c r="B643" s="79" t="s">
        <v>486</v>
      </c>
      <c r="C643" s="65" t="s">
        <v>53</v>
      </c>
      <c r="D643" s="65" t="s">
        <v>74</v>
      </c>
      <c r="E643" s="26">
        <v>200</v>
      </c>
      <c r="F643" s="62">
        <f>F644</f>
        <v>1296.3</v>
      </c>
      <c r="G643" s="62">
        <f>G644</f>
        <v>0</v>
      </c>
      <c r="H643" s="49">
        <f t="shared" si="119"/>
        <v>1296.3</v>
      </c>
      <c r="I643" s="62">
        <f>I644</f>
        <v>0</v>
      </c>
      <c r="J643" s="49">
        <f t="shared" si="113"/>
        <v>1296.3</v>
      </c>
      <c r="K643" s="62">
        <f>K644</f>
        <v>0</v>
      </c>
      <c r="L643" s="49">
        <f t="shared" si="110"/>
        <v>1296.3</v>
      </c>
      <c r="M643" s="62">
        <f>M644</f>
        <v>0</v>
      </c>
      <c r="N643" s="49">
        <f t="shared" si="118"/>
        <v>1296.3</v>
      </c>
    </row>
    <row r="644" spans="1:14" ht="33" x14ac:dyDescent="0.2">
      <c r="A644" s="50" t="str">
        <f ca="1">IF(ISERROR(MATCH(E644,Код_КВР,0)),"",INDIRECT(ADDRESS(MATCH(E644,Код_КВР,0)+1,2,,,"КВР")))</f>
        <v>Иные закупки товаров, работ и услуг для обеспечения государственных (муниципальных) нужд</v>
      </c>
      <c r="B644" s="79" t="s">
        <v>486</v>
      </c>
      <c r="C644" s="65" t="s">
        <v>53</v>
      </c>
      <c r="D644" s="65" t="s">
        <v>74</v>
      </c>
      <c r="E644" s="26">
        <v>240</v>
      </c>
      <c r="F644" s="62">
        <f>'прил. 8'!G1300</f>
        <v>1296.3</v>
      </c>
      <c r="G644" s="62">
        <f>'прил. 8'!H1300</f>
        <v>0</v>
      </c>
      <c r="H644" s="49">
        <f t="shared" si="119"/>
        <v>1296.3</v>
      </c>
      <c r="I644" s="62">
        <f>'прил. 8'!J1300</f>
        <v>0</v>
      </c>
      <c r="J644" s="49">
        <f t="shared" si="113"/>
        <v>1296.3</v>
      </c>
      <c r="K644" s="62">
        <f>'прил. 8'!L1300</f>
        <v>0</v>
      </c>
      <c r="L644" s="49">
        <f t="shared" si="110"/>
        <v>1296.3</v>
      </c>
      <c r="M644" s="62">
        <f>'прил. 8'!N1300</f>
        <v>0</v>
      </c>
      <c r="N644" s="49">
        <f t="shared" si="118"/>
        <v>1296.3</v>
      </c>
    </row>
    <row r="645" spans="1:14" ht="33" hidden="1" x14ac:dyDescent="0.2">
      <c r="A645" s="50" t="str">
        <f ca="1">IF(ISERROR(MATCH(E645,Код_КВР,0)),"",INDIRECT(ADDRESS(MATCH(E645,Код_КВР,0)+1,2,,,"КВР")))</f>
        <v>Капитальные вложения в объекты государственной (муниципальной) собственности</v>
      </c>
      <c r="B645" s="79" t="s">
        <v>486</v>
      </c>
      <c r="C645" s="65" t="s">
        <v>53</v>
      </c>
      <c r="D645" s="65" t="s">
        <v>74</v>
      </c>
      <c r="E645" s="26">
        <v>400</v>
      </c>
      <c r="F645" s="62">
        <f>F646</f>
        <v>0</v>
      </c>
      <c r="G645" s="62">
        <f>G646</f>
        <v>0</v>
      </c>
      <c r="H645" s="49">
        <f t="shared" si="119"/>
        <v>0</v>
      </c>
      <c r="I645" s="62">
        <f>I646</f>
        <v>0</v>
      </c>
      <c r="J645" s="49">
        <f t="shared" si="113"/>
        <v>0</v>
      </c>
      <c r="K645" s="62">
        <f>K646</f>
        <v>0</v>
      </c>
      <c r="L645" s="49">
        <f t="shared" si="110"/>
        <v>0</v>
      </c>
      <c r="M645" s="62">
        <f>M646</f>
        <v>0</v>
      </c>
      <c r="N645" s="49">
        <f t="shared" si="118"/>
        <v>0</v>
      </c>
    </row>
    <row r="646" spans="1:14" hidden="1" x14ac:dyDescent="0.2">
      <c r="A646" s="50" t="str">
        <f ca="1">IF(ISERROR(MATCH(E646,Код_КВР,0)),"",INDIRECT(ADDRESS(MATCH(E646,Код_КВР,0)+1,2,,,"КВР")))</f>
        <v>Бюджетные инвестиции</v>
      </c>
      <c r="B646" s="79" t="s">
        <v>486</v>
      </c>
      <c r="C646" s="65" t="s">
        <v>53</v>
      </c>
      <c r="D646" s="65" t="s">
        <v>74</v>
      </c>
      <c r="E646" s="26">
        <v>410</v>
      </c>
      <c r="F646" s="62">
        <f>'прил. 8'!G1302</f>
        <v>0</v>
      </c>
      <c r="G646" s="62">
        <f>'прил. 8'!H1302</f>
        <v>0</v>
      </c>
      <c r="H646" s="49">
        <f t="shared" si="119"/>
        <v>0</v>
      </c>
      <c r="I646" s="62">
        <f>'прил. 8'!J1302</f>
        <v>0</v>
      </c>
      <c r="J646" s="49">
        <f t="shared" si="113"/>
        <v>0</v>
      </c>
      <c r="K646" s="62">
        <f>'прил. 8'!L1302</f>
        <v>0</v>
      </c>
      <c r="L646" s="49">
        <f t="shared" si="110"/>
        <v>0</v>
      </c>
      <c r="M646" s="62">
        <f>'прил. 8'!N1302</f>
        <v>0</v>
      </c>
      <c r="N646" s="49">
        <f t="shared" si="118"/>
        <v>0</v>
      </c>
    </row>
    <row r="647" spans="1:14" ht="33" x14ac:dyDescent="0.2">
      <c r="A647" s="50" t="str">
        <f ca="1">IF(ISERROR(MATCH(B647,Код_КЦСР,0)),"",INDIRECT(ADDRESS(MATCH(B647,Код_КЦСР,0)+1,2,,,"КЦСР")))</f>
        <v>Выплата ежемесячного социального пособия на оздоровление работникам учреждений здравоохранения</v>
      </c>
      <c r="B647" s="79" t="s">
        <v>313</v>
      </c>
      <c r="C647" s="65"/>
      <c r="D647" s="46"/>
      <c r="E647" s="26"/>
      <c r="F647" s="62">
        <f t="shared" ref="F647:M650" si="124">F648</f>
        <v>14580</v>
      </c>
      <c r="G647" s="62">
        <f t="shared" si="124"/>
        <v>0</v>
      </c>
      <c r="H647" s="49">
        <f t="shared" si="119"/>
        <v>14580</v>
      </c>
      <c r="I647" s="62">
        <f t="shared" si="124"/>
        <v>0</v>
      </c>
      <c r="J647" s="49">
        <f t="shared" si="113"/>
        <v>14580</v>
      </c>
      <c r="K647" s="62">
        <f t="shared" si="124"/>
        <v>0</v>
      </c>
      <c r="L647" s="49">
        <f t="shared" si="110"/>
        <v>14580</v>
      </c>
      <c r="M647" s="62">
        <f t="shared" si="124"/>
        <v>0</v>
      </c>
      <c r="N647" s="49">
        <f t="shared" si="118"/>
        <v>14580</v>
      </c>
    </row>
    <row r="648" spans="1:14" ht="33" x14ac:dyDescent="0.2">
      <c r="A648" s="50" t="str">
        <f ca="1">IF(ISERROR(MATCH(B648,Код_КЦСР,0)),"",INDIRECT(ADDRESS(MATCH(B648,Код_КЦСР,0)+1,2,,,"КЦСР")))</f>
        <v>Выплата ежемесячного социального пособия на оздоровление работникам учреждений здравоохранения, за счет средств городского бюджета</v>
      </c>
      <c r="B648" s="79" t="s">
        <v>314</v>
      </c>
      <c r="C648" s="65"/>
      <c r="D648" s="46"/>
      <c r="E648" s="26"/>
      <c r="F648" s="62">
        <f>F649</f>
        <v>14580</v>
      </c>
      <c r="G648" s="62">
        <f>G649</f>
        <v>0</v>
      </c>
      <c r="H648" s="49">
        <f t="shared" si="119"/>
        <v>14580</v>
      </c>
      <c r="I648" s="62">
        <f>I649</f>
        <v>0</v>
      </c>
      <c r="J648" s="49">
        <f t="shared" si="113"/>
        <v>14580</v>
      </c>
      <c r="K648" s="62">
        <f>K649</f>
        <v>0</v>
      </c>
      <c r="L648" s="49">
        <f t="shared" si="110"/>
        <v>14580</v>
      </c>
      <c r="M648" s="62">
        <f>M649</f>
        <v>0</v>
      </c>
      <c r="N648" s="49">
        <f t="shared" si="118"/>
        <v>14580</v>
      </c>
    </row>
    <row r="649" spans="1:14" ht="55.5" customHeight="1" x14ac:dyDescent="0.2">
      <c r="A649" s="50" t="str">
        <f ca="1">IF(ISERROR(MATCH(B649,Код_КЦСР,0)),"",INDIRECT(ADDRESS(MATCH(B649,Код_КЦСР,0)+1,2,,,"КЦСР")))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v>
      </c>
      <c r="B649" s="79" t="s">
        <v>315</v>
      </c>
      <c r="C649" s="65"/>
      <c r="D649" s="46"/>
      <c r="E649" s="26"/>
      <c r="F649" s="62">
        <f t="shared" si="124"/>
        <v>14580</v>
      </c>
      <c r="G649" s="62">
        <f t="shared" si="124"/>
        <v>0</v>
      </c>
      <c r="H649" s="49">
        <f t="shared" si="119"/>
        <v>14580</v>
      </c>
      <c r="I649" s="62">
        <f t="shared" si="124"/>
        <v>0</v>
      </c>
      <c r="J649" s="49">
        <f t="shared" si="113"/>
        <v>14580</v>
      </c>
      <c r="K649" s="62">
        <f t="shared" si="124"/>
        <v>0</v>
      </c>
      <c r="L649" s="49">
        <f t="shared" si="110"/>
        <v>14580</v>
      </c>
      <c r="M649" s="62">
        <f t="shared" si="124"/>
        <v>0</v>
      </c>
      <c r="N649" s="49">
        <f t="shared" si="118"/>
        <v>14580</v>
      </c>
    </row>
    <row r="650" spans="1:14" x14ac:dyDescent="0.2">
      <c r="A650" s="50" t="str">
        <f ca="1">IF(ISERROR(MATCH(C650,Код_Раздел,0)),"",INDIRECT(ADDRESS(MATCH(C650,Код_Раздел,0)+1,2,,,"Раздел")))</f>
        <v>Социальная политика</v>
      </c>
      <c r="B650" s="79" t="s">
        <v>315</v>
      </c>
      <c r="C650" s="65" t="s">
        <v>53</v>
      </c>
      <c r="D650" s="46"/>
      <c r="E650" s="26"/>
      <c r="F650" s="62">
        <f t="shared" si="124"/>
        <v>14580</v>
      </c>
      <c r="G650" s="62">
        <f t="shared" si="124"/>
        <v>0</v>
      </c>
      <c r="H650" s="49">
        <f t="shared" si="119"/>
        <v>14580</v>
      </c>
      <c r="I650" s="62">
        <f t="shared" si="124"/>
        <v>0</v>
      </c>
      <c r="J650" s="49">
        <f t="shared" si="113"/>
        <v>14580</v>
      </c>
      <c r="K650" s="62">
        <f t="shared" si="124"/>
        <v>0</v>
      </c>
      <c r="L650" s="49">
        <f t="shared" ref="L650:L713" si="125">J650+K650</f>
        <v>14580</v>
      </c>
      <c r="M650" s="62">
        <f t="shared" si="124"/>
        <v>0</v>
      </c>
      <c r="N650" s="49">
        <f t="shared" si="118"/>
        <v>14580</v>
      </c>
    </row>
    <row r="651" spans="1:14" x14ac:dyDescent="0.2">
      <c r="A651" s="45" t="s">
        <v>44</v>
      </c>
      <c r="B651" s="79" t="s">
        <v>315</v>
      </c>
      <c r="C651" s="65" t="s">
        <v>53</v>
      </c>
      <c r="D651" s="65" t="s">
        <v>72</v>
      </c>
      <c r="E651" s="26"/>
      <c r="F651" s="62">
        <f>F652</f>
        <v>14580</v>
      </c>
      <c r="G651" s="62">
        <f>G652</f>
        <v>0</v>
      </c>
      <c r="H651" s="49">
        <f t="shared" si="119"/>
        <v>14580</v>
      </c>
      <c r="I651" s="62">
        <f>I652</f>
        <v>0</v>
      </c>
      <c r="J651" s="49">
        <f t="shared" si="113"/>
        <v>14580</v>
      </c>
      <c r="K651" s="62">
        <f>K652</f>
        <v>0</v>
      </c>
      <c r="L651" s="49">
        <f t="shared" si="125"/>
        <v>14580</v>
      </c>
      <c r="M651" s="62">
        <f>M652</f>
        <v>0</v>
      </c>
      <c r="N651" s="49">
        <f t="shared" si="118"/>
        <v>14580</v>
      </c>
    </row>
    <row r="652" spans="1:14" x14ac:dyDescent="0.2">
      <c r="A652" s="50" t="str">
        <f ca="1">IF(ISERROR(MATCH(E652,Код_КВР,0)),"",INDIRECT(ADDRESS(MATCH(E652,Код_КВР,0)+1,2,,,"КВР")))</f>
        <v>Социальное обеспечение и иные выплаты населению</v>
      </c>
      <c r="B652" s="79" t="s">
        <v>315</v>
      </c>
      <c r="C652" s="65" t="s">
        <v>53</v>
      </c>
      <c r="D652" s="65" t="s">
        <v>72</v>
      </c>
      <c r="E652" s="26">
        <v>300</v>
      </c>
      <c r="F652" s="62">
        <f>F653</f>
        <v>14580</v>
      </c>
      <c r="G652" s="62">
        <f>G653</f>
        <v>0</v>
      </c>
      <c r="H652" s="49">
        <f t="shared" si="119"/>
        <v>14580</v>
      </c>
      <c r="I652" s="62">
        <f>I653</f>
        <v>0</v>
      </c>
      <c r="J652" s="49">
        <f t="shared" si="113"/>
        <v>14580</v>
      </c>
      <c r="K652" s="62">
        <f>K653</f>
        <v>0</v>
      </c>
      <c r="L652" s="49">
        <f t="shared" si="125"/>
        <v>14580</v>
      </c>
      <c r="M652" s="62">
        <f>M653</f>
        <v>0</v>
      </c>
      <c r="N652" s="49">
        <f t="shared" si="118"/>
        <v>14580</v>
      </c>
    </row>
    <row r="653" spans="1:14" x14ac:dyDescent="0.2">
      <c r="A653" s="50" t="str">
        <f ca="1">IF(ISERROR(MATCH(E653,Код_КВР,0)),"",INDIRECT(ADDRESS(MATCH(E653,Код_КВР,0)+1,2,,,"КВР")))</f>
        <v>Публичные нормативные социальные выплаты гражданам</v>
      </c>
      <c r="B653" s="79" t="s">
        <v>315</v>
      </c>
      <c r="C653" s="65" t="s">
        <v>53</v>
      </c>
      <c r="D653" s="65" t="s">
        <v>72</v>
      </c>
      <c r="E653" s="26">
        <v>310</v>
      </c>
      <c r="F653" s="62">
        <f>'прил. 8'!G372</f>
        <v>14580</v>
      </c>
      <c r="G653" s="62">
        <f>'прил. 8'!H372</f>
        <v>0</v>
      </c>
      <c r="H653" s="49">
        <f t="shared" si="119"/>
        <v>14580</v>
      </c>
      <c r="I653" s="62">
        <f>'прил. 8'!J372</f>
        <v>0</v>
      </c>
      <c r="J653" s="49">
        <f t="shared" si="113"/>
        <v>14580</v>
      </c>
      <c r="K653" s="62">
        <f>'прил. 8'!L372</f>
        <v>0</v>
      </c>
      <c r="L653" s="49">
        <f t="shared" si="125"/>
        <v>14580</v>
      </c>
      <c r="M653" s="62">
        <f>'прил. 8'!N372</f>
        <v>0</v>
      </c>
      <c r="N653" s="49">
        <f t="shared" si="118"/>
        <v>14580</v>
      </c>
    </row>
    <row r="654" spans="1:14" ht="33" x14ac:dyDescent="0.2">
      <c r="A654" s="50" t="str">
        <f ca="1">IF(ISERROR(MATCH(B654,Код_КЦСР,0)),"",INDIRECT(ADDRESS(MATCH(B654,Код_КЦСР,0)+1,2,,,"КЦСР")))</f>
        <v>Выплата ежемесячного социального пособия за найм (поднайм) жилых помещений специалистам учреждений здравоохранения</v>
      </c>
      <c r="B654" s="79" t="s">
        <v>316</v>
      </c>
      <c r="C654" s="65"/>
      <c r="D654" s="46"/>
      <c r="E654" s="26"/>
      <c r="F654" s="62">
        <f t="shared" ref="F654:M657" si="126">F655</f>
        <v>11016</v>
      </c>
      <c r="G654" s="62">
        <f t="shared" si="126"/>
        <v>0</v>
      </c>
      <c r="H654" s="49">
        <f t="shared" si="119"/>
        <v>11016</v>
      </c>
      <c r="I654" s="62">
        <f t="shared" si="126"/>
        <v>0</v>
      </c>
      <c r="J654" s="49">
        <f t="shared" si="113"/>
        <v>11016</v>
      </c>
      <c r="K654" s="62">
        <f t="shared" si="126"/>
        <v>0</v>
      </c>
      <c r="L654" s="49">
        <f t="shared" si="125"/>
        <v>11016</v>
      </c>
      <c r="M654" s="62">
        <f t="shared" si="126"/>
        <v>0</v>
      </c>
      <c r="N654" s="49">
        <f t="shared" si="118"/>
        <v>11016</v>
      </c>
    </row>
    <row r="655" spans="1:14" ht="49.5" x14ac:dyDescent="0.2">
      <c r="A655" s="50" t="str">
        <f ca="1">IF(ISERROR(MATCH(B655,Код_КЦСР,0)),"",INDIRECT(ADDRESS(MATCH(B655,Код_КЦСР,0)+1,2,,,"КЦСР")))</f>
        <v>Выплата ежемесячного социального пособия за найм (поднайм) жилых помещений специалистам учреждений здравоохранения, за счет средств городского бюджета</v>
      </c>
      <c r="B655" s="79" t="s">
        <v>317</v>
      </c>
      <c r="C655" s="65"/>
      <c r="D655" s="46"/>
      <c r="E655" s="26"/>
      <c r="F655" s="62">
        <f t="shared" si="126"/>
        <v>11016</v>
      </c>
      <c r="G655" s="62">
        <f t="shared" si="126"/>
        <v>0</v>
      </c>
      <c r="H655" s="49">
        <f t="shared" si="119"/>
        <v>11016</v>
      </c>
      <c r="I655" s="62">
        <f t="shared" si="126"/>
        <v>0</v>
      </c>
      <c r="J655" s="49">
        <f t="shared" si="113"/>
        <v>11016</v>
      </c>
      <c r="K655" s="62">
        <f t="shared" si="126"/>
        <v>0</v>
      </c>
      <c r="L655" s="49">
        <f t="shared" si="125"/>
        <v>11016</v>
      </c>
      <c r="M655" s="62">
        <f t="shared" si="126"/>
        <v>0</v>
      </c>
      <c r="N655" s="49">
        <f t="shared" si="118"/>
        <v>11016</v>
      </c>
    </row>
    <row r="656" spans="1:14" ht="49.5" x14ac:dyDescent="0.2">
      <c r="A656" s="50" t="str">
        <f ca="1">IF(ISERROR(MATCH(B656,Код_КЦСР,0)),"",INDIRECT(ADDRESS(MATCH(B656,Код_КЦСР,0)+1,2,,,"КЦСР")))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v>
      </c>
      <c r="B656" s="79" t="s">
        <v>318</v>
      </c>
      <c r="C656" s="65"/>
      <c r="D656" s="46"/>
      <c r="E656" s="26"/>
      <c r="F656" s="62">
        <f t="shared" si="126"/>
        <v>11016</v>
      </c>
      <c r="G656" s="62">
        <f t="shared" si="126"/>
        <v>0</v>
      </c>
      <c r="H656" s="49">
        <f t="shared" si="119"/>
        <v>11016</v>
      </c>
      <c r="I656" s="62">
        <f t="shared" si="126"/>
        <v>0</v>
      </c>
      <c r="J656" s="49">
        <f t="shared" si="113"/>
        <v>11016</v>
      </c>
      <c r="K656" s="62">
        <f t="shared" si="126"/>
        <v>0</v>
      </c>
      <c r="L656" s="49">
        <f t="shared" si="125"/>
        <v>11016</v>
      </c>
      <c r="M656" s="62">
        <f t="shared" si="126"/>
        <v>0</v>
      </c>
      <c r="N656" s="49">
        <f t="shared" si="118"/>
        <v>11016</v>
      </c>
    </row>
    <row r="657" spans="1:14" x14ac:dyDescent="0.2">
      <c r="A657" s="50" t="str">
        <f ca="1">IF(ISERROR(MATCH(C657,Код_Раздел,0)),"",INDIRECT(ADDRESS(MATCH(C657,Код_Раздел,0)+1,2,,,"Раздел")))</f>
        <v>Социальная политика</v>
      </c>
      <c r="B657" s="79" t="s">
        <v>318</v>
      </c>
      <c r="C657" s="65" t="s">
        <v>53</v>
      </c>
      <c r="D657" s="46"/>
      <c r="E657" s="26"/>
      <c r="F657" s="62">
        <f t="shared" si="126"/>
        <v>11016</v>
      </c>
      <c r="G657" s="62">
        <f t="shared" si="126"/>
        <v>0</v>
      </c>
      <c r="H657" s="49">
        <f t="shared" si="119"/>
        <v>11016</v>
      </c>
      <c r="I657" s="62">
        <f t="shared" si="126"/>
        <v>0</v>
      </c>
      <c r="J657" s="49">
        <f t="shared" si="113"/>
        <v>11016</v>
      </c>
      <c r="K657" s="62">
        <f t="shared" si="126"/>
        <v>0</v>
      </c>
      <c r="L657" s="49">
        <f t="shared" si="125"/>
        <v>11016</v>
      </c>
      <c r="M657" s="62">
        <f t="shared" si="126"/>
        <v>0</v>
      </c>
      <c r="N657" s="49">
        <f t="shared" si="118"/>
        <v>11016</v>
      </c>
    </row>
    <row r="658" spans="1:14" x14ac:dyDescent="0.2">
      <c r="A658" s="45" t="s">
        <v>44</v>
      </c>
      <c r="B658" s="79" t="s">
        <v>318</v>
      </c>
      <c r="C658" s="65" t="s">
        <v>53</v>
      </c>
      <c r="D658" s="65" t="s">
        <v>72</v>
      </c>
      <c r="E658" s="26"/>
      <c r="F658" s="62">
        <f>F659</f>
        <v>11016</v>
      </c>
      <c r="G658" s="62">
        <f>G659</f>
        <v>0</v>
      </c>
      <c r="H658" s="49">
        <f t="shared" si="119"/>
        <v>11016</v>
      </c>
      <c r="I658" s="62">
        <f>I659</f>
        <v>0</v>
      </c>
      <c r="J658" s="49">
        <f t="shared" si="113"/>
        <v>11016</v>
      </c>
      <c r="K658" s="62">
        <f>K659</f>
        <v>0</v>
      </c>
      <c r="L658" s="49">
        <f t="shared" si="125"/>
        <v>11016</v>
      </c>
      <c r="M658" s="62">
        <f>M659</f>
        <v>0</v>
      </c>
      <c r="N658" s="49">
        <f t="shared" ref="N658:N721" si="127">L658+M658</f>
        <v>11016</v>
      </c>
    </row>
    <row r="659" spans="1:14" x14ac:dyDescent="0.2">
      <c r="A659" s="50" t="str">
        <f ca="1">IF(ISERROR(MATCH(E659,Код_КВР,0)),"",INDIRECT(ADDRESS(MATCH(E659,Код_КВР,0)+1,2,,,"КВР")))</f>
        <v>Социальное обеспечение и иные выплаты населению</v>
      </c>
      <c r="B659" s="79" t="s">
        <v>318</v>
      </c>
      <c r="C659" s="65" t="s">
        <v>53</v>
      </c>
      <c r="D659" s="65" t="s">
        <v>72</v>
      </c>
      <c r="E659" s="26">
        <v>300</v>
      </c>
      <c r="F659" s="62">
        <f>F660</f>
        <v>11016</v>
      </c>
      <c r="G659" s="62">
        <f>G660</f>
        <v>0</v>
      </c>
      <c r="H659" s="49">
        <f t="shared" si="119"/>
        <v>11016</v>
      </c>
      <c r="I659" s="62">
        <f>I660</f>
        <v>0</v>
      </c>
      <c r="J659" s="49">
        <f t="shared" si="113"/>
        <v>11016</v>
      </c>
      <c r="K659" s="62">
        <f>K660</f>
        <v>0</v>
      </c>
      <c r="L659" s="49">
        <f t="shared" si="125"/>
        <v>11016</v>
      </c>
      <c r="M659" s="62">
        <f>M660</f>
        <v>0</v>
      </c>
      <c r="N659" s="49">
        <f t="shared" si="127"/>
        <v>11016</v>
      </c>
    </row>
    <row r="660" spans="1:14" x14ac:dyDescent="0.2">
      <c r="A660" s="50" t="str">
        <f ca="1">IF(ISERROR(MATCH(E660,Код_КВР,0)),"",INDIRECT(ADDRESS(MATCH(E660,Код_КВР,0)+1,2,,,"КВР")))</f>
        <v>Публичные нормативные социальные выплаты гражданам</v>
      </c>
      <c r="B660" s="79" t="s">
        <v>318</v>
      </c>
      <c r="C660" s="65" t="s">
        <v>53</v>
      </c>
      <c r="D660" s="65" t="s">
        <v>72</v>
      </c>
      <c r="E660" s="26">
        <v>310</v>
      </c>
      <c r="F660" s="62">
        <f>'прил. 8'!G377</f>
        <v>11016</v>
      </c>
      <c r="G660" s="62">
        <f>'прил. 8'!H377</f>
        <v>0</v>
      </c>
      <c r="H660" s="49">
        <f t="shared" si="119"/>
        <v>11016</v>
      </c>
      <c r="I660" s="62">
        <f>'прил. 8'!J377</f>
        <v>0</v>
      </c>
      <c r="J660" s="49">
        <f t="shared" si="113"/>
        <v>11016</v>
      </c>
      <c r="K660" s="62">
        <f>'прил. 8'!L377</f>
        <v>0</v>
      </c>
      <c r="L660" s="49">
        <f t="shared" si="125"/>
        <v>11016</v>
      </c>
      <c r="M660" s="62">
        <f>'прил. 8'!N377</f>
        <v>0</v>
      </c>
      <c r="N660" s="49">
        <f t="shared" si="127"/>
        <v>11016</v>
      </c>
    </row>
    <row r="661" spans="1:14" ht="33" x14ac:dyDescent="0.2">
      <c r="A661" s="50" t="str">
        <f ca="1">IF(ISERROR(MATCH(B661,Код_КЦСР,0)),"",INDIRECT(ADDRESS(MATCH(B661,Код_КЦСР,0)+1,2,,,"КЦСР")))</f>
        <v>Выплата вознаграждений лицам, имеющим знак «За особые заслуги перед городом Череповцом»</v>
      </c>
      <c r="B661" s="79" t="s">
        <v>319</v>
      </c>
      <c r="C661" s="65"/>
      <c r="D661" s="46"/>
      <c r="E661" s="26"/>
      <c r="F661" s="62">
        <f t="shared" ref="F661:M664" si="128">F662</f>
        <v>383</v>
      </c>
      <c r="G661" s="62">
        <f t="shared" si="128"/>
        <v>0</v>
      </c>
      <c r="H661" s="49">
        <f t="shared" si="119"/>
        <v>383</v>
      </c>
      <c r="I661" s="62">
        <f t="shared" si="128"/>
        <v>0</v>
      </c>
      <c r="J661" s="49">
        <f t="shared" ref="J661:J724" si="129">H661+I661</f>
        <v>383</v>
      </c>
      <c r="K661" s="62">
        <f t="shared" si="128"/>
        <v>0</v>
      </c>
      <c r="L661" s="49">
        <f t="shared" si="125"/>
        <v>383</v>
      </c>
      <c r="M661" s="62">
        <f t="shared" si="128"/>
        <v>0</v>
      </c>
      <c r="N661" s="49">
        <f t="shared" si="127"/>
        <v>383</v>
      </c>
    </row>
    <row r="662" spans="1:14" ht="33" x14ac:dyDescent="0.2">
      <c r="A662" s="50" t="str">
        <f ca="1">IF(ISERROR(MATCH(B662,Код_КЦСР,0)),"",INDIRECT(ADDRESS(MATCH(B662,Код_КЦСР,0)+1,2,,,"КЦСР")))</f>
        <v>Выплата вознаграждений лицам, имеющим знак «За особые заслуги перед городом Череповцом», за счет средств городского бюджета</v>
      </c>
      <c r="B662" s="79" t="s">
        <v>320</v>
      </c>
      <c r="C662" s="65"/>
      <c r="D662" s="46"/>
      <c r="E662" s="26"/>
      <c r="F662" s="62">
        <f t="shared" si="128"/>
        <v>383</v>
      </c>
      <c r="G662" s="62">
        <f t="shared" si="128"/>
        <v>0</v>
      </c>
      <c r="H662" s="49">
        <f t="shared" si="119"/>
        <v>383</v>
      </c>
      <c r="I662" s="62">
        <f t="shared" si="128"/>
        <v>0</v>
      </c>
      <c r="J662" s="49">
        <f t="shared" si="129"/>
        <v>383</v>
      </c>
      <c r="K662" s="62">
        <f t="shared" si="128"/>
        <v>0</v>
      </c>
      <c r="L662" s="49">
        <f t="shared" si="125"/>
        <v>383</v>
      </c>
      <c r="M662" s="62">
        <f t="shared" si="128"/>
        <v>0</v>
      </c>
      <c r="N662" s="49">
        <f t="shared" si="127"/>
        <v>383</v>
      </c>
    </row>
    <row r="663" spans="1:14" ht="49.5" x14ac:dyDescent="0.2">
      <c r="A663" s="50" t="str">
        <f ca="1">IF(ISERROR(MATCH(B663,Код_КЦСР,0)),"",INDIRECT(ADDRESS(MATCH(B663,Код_КЦСР,0)+1,2,,,"КЦСР")))</f>
        <v>Выплата вознаграждений лицам, имеющим знак «За особые заслуги перед городом Череповцом», в соответствии с постановлением Череповецкой городской Думы от 27.09.2005  № 88</v>
      </c>
      <c r="B663" s="79" t="s">
        <v>321</v>
      </c>
      <c r="C663" s="65"/>
      <c r="D663" s="46"/>
      <c r="E663" s="26"/>
      <c r="F663" s="62">
        <f t="shared" si="128"/>
        <v>383</v>
      </c>
      <c r="G663" s="62">
        <f t="shared" si="128"/>
        <v>0</v>
      </c>
      <c r="H663" s="49">
        <f t="shared" si="119"/>
        <v>383</v>
      </c>
      <c r="I663" s="62">
        <f t="shared" si="128"/>
        <v>0</v>
      </c>
      <c r="J663" s="49">
        <f t="shared" si="129"/>
        <v>383</v>
      </c>
      <c r="K663" s="62">
        <f t="shared" si="128"/>
        <v>0</v>
      </c>
      <c r="L663" s="49">
        <f t="shared" si="125"/>
        <v>383</v>
      </c>
      <c r="M663" s="62">
        <f t="shared" si="128"/>
        <v>0</v>
      </c>
      <c r="N663" s="49">
        <f t="shared" si="127"/>
        <v>383</v>
      </c>
    </row>
    <row r="664" spans="1:14" x14ac:dyDescent="0.2">
      <c r="A664" s="50" t="str">
        <f ca="1">IF(ISERROR(MATCH(C664,Код_Раздел,0)),"",INDIRECT(ADDRESS(MATCH(C664,Код_Раздел,0)+1,2,,,"Раздел")))</f>
        <v>Социальная политика</v>
      </c>
      <c r="B664" s="79" t="s">
        <v>321</v>
      </c>
      <c r="C664" s="65" t="s">
        <v>53</v>
      </c>
      <c r="D664" s="46"/>
      <c r="E664" s="26"/>
      <c r="F664" s="62">
        <f t="shared" si="128"/>
        <v>383</v>
      </c>
      <c r="G664" s="62">
        <f t="shared" si="128"/>
        <v>0</v>
      </c>
      <c r="H664" s="49">
        <f t="shared" si="119"/>
        <v>383</v>
      </c>
      <c r="I664" s="62">
        <f t="shared" si="128"/>
        <v>0</v>
      </c>
      <c r="J664" s="49">
        <f t="shared" si="129"/>
        <v>383</v>
      </c>
      <c r="K664" s="62">
        <f t="shared" si="128"/>
        <v>0</v>
      </c>
      <c r="L664" s="49">
        <f t="shared" si="125"/>
        <v>383</v>
      </c>
      <c r="M664" s="62">
        <f t="shared" si="128"/>
        <v>0</v>
      </c>
      <c r="N664" s="49">
        <f t="shared" si="127"/>
        <v>383</v>
      </c>
    </row>
    <row r="665" spans="1:14" x14ac:dyDescent="0.2">
      <c r="A665" s="45" t="s">
        <v>44</v>
      </c>
      <c r="B665" s="79" t="s">
        <v>321</v>
      </c>
      <c r="C665" s="65" t="s">
        <v>53</v>
      </c>
      <c r="D665" s="65" t="s">
        <v>72</v>
      </c>
      <c r="E665" s="26"/>
      <c r="F665" s="62">
        <f>F666</f>
        <v>383</v>
      </c>
      <c r="G665" s="62">
        <f>G666</f>
        <v>0</v>
      </c>
      <c r="H665" s="49">
        <f t="shared" si="119"/>
        <v>383</v>
      </c>
      <c r="I665" s="62">
        <f>I666</f>
        <v>0</v>
      </c>
      <c r="J665" s="49">
        <f t="shared" si="129"/>
        <v>383</v>
      </c>
      <c r="K665" s="62">
        <f>K666</f>
        <v>0</v>
      </c>
      <c r="L665" s="49">
        <f t="shared" si="125"/>
        <v>383</v>
      </c>
      <c r="M665" s="62">
        <f>M666</f>
        <v>0</v>
      </c>
      <c r="N665" s="49">
        <f t="shared" si="127"/>
        <v>383</v>
      </c>
    </row>
    <row r="666" spans="1:14" x14ac:dyDescent="0.2">
      <c r="A666" s="50" t="str">
        <f ca="1">IF(ISERROR(MATCH(E666,Код_КВР,0)),"",INDIRECT(ADDRESS(MATCH(E666,Код_КВР,0)+1,2,,,"КВР")))</f>
        <v>Социальное обеспечение и иные выплаты населению</v>
      </c>
      <c r="B666" s="79" t="s">
        <v>321</v>
      </c>
      <c r="C666" s="65" t="s">
        <v>53</v>
      </c>
      <c r="D666" s="65" t="s">
        <v>72</v>
      </c>
      <c r="E666" s="26">
        <v>300</v>
      </c>
      <c r="F666" s="62">
        <f>F667</f>
        <v>383</v>
      </c>
      <c r="G666" s="62">
        <f>G667</f>
        <v>0</v>
      </c>
      <c r="H666" s="49">
        <f t="shared" si="119"/>
        <v>383</v>
      </c>
      <c r="I666" s="62">
        <f>I667</f>
        <v>0</v>
      </c>
      <c r="J666" s="49">
        <f t="shared" si="129"/>
        <v>383</v>
      </c>
      <c r="K666" s="62">
        <f>K667</f>
        <v>0</v>
      </c>
      <c r="L666" s="49">
        <f t="shared" si="125"/>
        <v>383</v>
      </c>
      <c r="M666" s="62">
        <f>M667</f>
        <v>0</v>
      </c>
      <c r="N666" s="49">
        <f t="shared" si="127"/>
        <v>383</v>
      </c>
    </row>
    <row r="667" spans="1:14" x14ac:dyDescent="0.2">
      <c r="A667" s="50" t="str">
        <f ca="1">IF(ISERROR(MATCH(E667,Код_КВР,0)),"",INDIRECT(ADDRESS(MATCH(E667,Код_КВР,0)+1,2,,,"КВР")))</f>
        <v>Публичные нормативные социальные выплаты гражданам</v>
      </c>
      <c r="B667" s="79" t="s">
        <v>321</v>
      </c>
      <c r="C667" s="65" t="s">
        <v>53</v>
      </c>
      <c r="D667" s="65" t="s">
        <v>72</v>
      </c>
      <c r="E667" s="26">
        <v>310</v>
      </c>
      <c r="F667" s="62">
        <f>'прил. 8'!G382</f>
        <v>383</v>
      </c>
      <c r="G667" s="62">
        <f>'прил. 8'!H382</f>
        <v>0</v>
      </c>
      <c r="H667" s="49">
        <f t="shared" si="119"/>
        <v>383</v>
      </c>
      <c r="I667" s="62">
        <f>'прил. 8'!J382</f>
        <v>0</v>
      </c>
      <c r="J667" s="49">
        <f t="shared" si="129"/>
        <v>383</v>
      </c>
      <c r="K667" s="62">
        <f>'прил. 8'!L382</f>
        <v>0</v>
      </c>
      <c r="L667" s="49">
        <f t="shared" si="125"/>
        <v>383</v>
      </c>
      <c r="M667" s="62">
        <f>'прил. 8'!N382</f>
        <v>0</v>
      </c>
      <c r="N667" s="49">
        <f t="shared" si="127"/>
        <v>383</v>
      </c>
    </row>
    <row r="668" spans="1:14" ht="33" x14ac:dyDescent="0.2">
      <c r="A668" s="50" t="str">
        <f ca="1">IF(ISERROR(MATCH(B668,Код_КЦСР,0)),"",INDIRECT(ADDRESS(MATCH(B668,Код_КЦСР,0)+1,2,,,"КЦСР")))</f>
        <v>Выплата вознаграждений лицам, имеющим звание «Почетный гражданин города Череповца»</v>
      </c>
      <c r="B668" s="79" t="s">
        <v>322</v>
      </c>
      <c r="C668" s="65"/>
      <c r="D668" s="46"/>
      <c r="E668" s="26"/>
      <c r="F668" s="62">
        <f t="shared" ref="F668:M671" si="130">F669</f>
        <v>348</v>
      </c>
      <c r="G668" s="62">
        <f t="shared" si="130"/>
        <v>0</v>
      </c>
      <c r="H668" s="49">
        <f t="shared" si="119"/>
        <v>348</v>
      </c>
      <c r="I668" s="62">
        <f t="shared" si="130"/>
        <v>0</v>
      </c>
      <c r="J668" s="49">
        <f t="shared" si="129"/>
        <v>348</v>
      </c>
      <c r="K668" s="62">
        <f t="shared" si="130"/>
        <v>0</v>
      </c>
      <c r="L668" s="49">
        <f t="shared" si="125"/>
        <v>348</v>
      </c>
      <c r="M668" s="62">
        <f t="shared" si="130"/>
        <v>0</v>
      </c>
      <c r="N668" s="49">
        <f t="shared" si="127"/>
        <v>348</v>
      </c>
    </row>
    <row r="669" spans="1:14" ht="33" x14ac:dyDescent="0.2">
      <c r="A669" s="50" t="str">
        <f ca="1">IF(ISERROR(MATCH(B669,Код_КЦСР,0)),"",INDIRECT(ADDRESS(MATCH(B669,Код_КЦСР,0)+1,2,,,"КЦСР")))</f>
        <v>Выплата вознаграждений лицам, имеющим звание «Почетный гражданин города Череповца», за счет средств городского бюджета</v>
      </c>
      <c r="B669" s="79" t="s">
        <v>323</v>
      </c>
      <c r="C669" s="65"/>
      <c r="D669" s="46"/>
      <c r="E669" s="26"/>
      <c r="F669" s="62">
        <f t="shared" si="130"/>
        <v>348</v>
      </c>
      <c r="G669" s="62">
        <f t="shared" si="130"/>
        <v>0</v>
      </c>
      <c r="H669" s="49">
        <f t="shared" si="119"/>
        <v>348</v>
      </c>
      <c r="I669" s="62">
        <f t="shared" si="130"/>
        <v>0</v>
      </c>
      <c r="J669" s="49">
        <f t="shared" si="129"/>
        <v>348</v>
      </c>
      <c r="K669" s="62">
        <f t="shared" si="130"/>
        <v>0</v>
      </c>
      <c r="L669" s="49">
        <f t="shared" si="125"/>
        <v>348</v>
      </c>
      <c r="M669" s="62">
        <f t="shared" si="130"/>
        <v>0</v>
      </c>
      <c r="N669" s="49">
        <f t="shared" si="127"/>
        <v>348</v>
      </c>
    </row>
    <row r="670" spans="1:14" ht="49.5" x14ac:dyDescent="0.2">
      <c r="A670" s="50" t="str">
        <f ca="1">IF(ISERROR(MATCH(B670,Код_КЦСР,0)),"",INDIRECT(ADDRESS(MATCH(B670,Код_КЦСР,0)+1,2,,,"КЦСР")))</f>
        <v>Выплата вознаграждений лицам, имеющим звание «Почетный гражданин города Череповца», в соответствии с постановлением Череповецкой городской Думы от 27.09.2005 № 87</v>
      </c>
      <c r="B670" s="79" t="s">
        <v>324</v>
      </c>
      <c r="C670" s="65"/>
      <c r="D670" s="46"/>
      <c r="E670" s="26"/>
      <c r="F670" s="62">
        <f t="shared" si="130"/>
        <v>348</v>
      </c>
      <c r="G670" s="62">
        <f t="shared" si="130"/>
        <v>0</v>
      </c>
      <c r="H670" s="49">
        <f t="shared" si="119"/>
        <v>348</v>
      </c>
      <c r="I670" s="62">
        <f t="shared" si="130"/>
        <v>0</v>
      </c>
      <c r="J670" s="49">
        <f t="shared" si="129"/>
        <v>348</v>
      </c>
      <c r="K670" s="62">
        <f t="shared" si="130"/>
        <v>0</v>
      </c>
      <c r="L670" s="49">
        <f t="shared" si="125"/>
        <v>348</v>
      </c>
      <c r="M670" s="62">
        <f t="shared" si="130"/>
        <v>0</v>
      </c>
      <c r="N670" s="49">
        <f t="shared" si="127"/>
        <v>348</v>
      </c>
    </row>
    <row r="671" spans="1:14" x14ac:dyDescent="0.2">
      <c r="A671" s="50" t="str">
        <f ca="1">IF(ISERROR(MATCH(C671,Код_Раздел,0)),"",INDIRECT(ADDRESS(MATCH(C671,Код_Раздел,0)+1,2,,,"Раздел")))</f>
        <v>Социальная политика</v>
      </c>
      <c r="B671" s="79" t="s">
        <v>324</v>
      </c>
      <c r="C671" s="65" t="s">
        <v>53</v>
      </c>
      <c r="D671" s="46"/>
      <c r="E671" s="26"/>
      <c r="F671" s="62">
        <f t="shared" si="130"/>
        <v>348</v>
      </c>
      <c r="G671" s="62">
        <f t="shared" si="130"/>
        <v>0</v>
      </c>
      <c r="H671" s="49">
        <f t="shared" si="119"/>
        <v>348</v>
      </c>
      <c r="I671" s="62">
        <f t="shared" si="130"/>
        <v>0</v>
      </c>
      <c r="J671" s="49">
        <f t="shared" si="129"/>
        <v>348</v>
      </c>
      <c r="K671" s="62">
        <f t="shared" si="130"/>
        <v>0</v>
      </c>
      <c r="L671" s="49">
        <f t="shared" si="125"/>
        <v>348</v>
      </c>
      <c r="M671" s="62">
        <f t="shared" si="130"/>
        <v>0</v>
      </c>
      <c r="N671" s="49">
        <f t="shared" si="127"/>
        <v>348</v>
      </c>
    </row>
    <row r="672" spans="1:14" x14ac:dyDescent="0.2">
      <c r="A672" s="45" t="s">
        <v>44</v>
      </c>
      <c r="B672" s="79" t="s">
        <v>324</v>
      </c>
      <c r="C672" s="65" t="s">
        <v>53</v>
      </c>
      <c r="D672" s="65" t="s">
        <v>72</v>
      </c>
      <c r="E672" s="26"/>
      <c r="F672" s="62">
        <f>F673</f>
        <v>348</v>
      </c>
      <c r="G672" s="62">
        <f>G673</f>
        <v>0</v>
      </c>
      <c r="H672" s="49">
        <f t="shared" si="119"/>
        <v>348</v>
      </c>
      <c r="I672" s="62">
        <f>I673</f>
        <v>0</v>
      </c>
      <c r="J672" s="49">
        <f t="shared" si="129"/>
        <v>348</v>
      </c>
      <c r="K672" s="62">
        <f>K673</f>
        <v>0</v>
      </c>
      <c r="L672" s="49">
        <f t="shared" si="125"/>
        <v>348</v>
      </c>
      <c r="M672" s="62">
        <f>M673</f>
        <v>0</v>
      </c>
      <c r="N672" s="49">
        <f t="shared" si="127"/>
        <v>348</v>
      </c>
    </row>
    <row r="673" spans="1:14" x14ac:dyDescent="0.2">
      <c r="A673" s="50" t="str">
        <f ca="1">IF(ISERROR(MATCH(E673,Код_КВР,0)),"",INDIRECT(ADDRESS(MATCH(E673,Код_КВР,0)+1,2,,,"КВР")))</f>
        <v>Социальное обеспечение и иные выплаты населению</v>
      </c>
      <c r="B673" s="79" t="s">
        <v>324</v>
      </c>
      <c r="C673" s="65" t="s">
        <v>53</v>
      </c>
      <c r="D673" s="65" t="s">
        <v>72</v>
      </c>
      <c r="E673" s="26">
        <v>300</v>
      </c>
      <c r="F673" s="62">
        <f>F674</f>
        <v>348</v>
      </c>
      <c r="G673" s="62">
        <f>G674</f>
        <v>0</v>
      </c>
      <c r="H673" s="49">
        <f t="shared" si="119"/>
        <v>348</v>
      </c>
      <c r="I673" s="62">
        <f>I674</f>
        <v>0</v>
      </c>
      <c r="J673" s="49">
        <f t="shared" si="129"/>
        <v>348</v>
      </c>
      <c r="K673" s="62">
        <f>K674</f>
        <v>0</v>
      </c>
      <c r="L673" s="49">
        <f t="shared" si="125"/>
        <v>348</v>
      </c>
      <c r="M673" s="62">
        <f>M674</f>
        <v>0</v>
      </c>
      <c r="N673" s="49">
        <f t="shared" si="127"/>
        <v>348</v>
      </c>
    </row>
    <row r="674" spans="1:14" x14ac:dyDescent="0.2">
      <c r="A674" s="50" t="str">
        <f ca="1">IF(ISERROR(MATCH(E674,Код_КВР,0)),"",INDIRECT(ADDRESS(MATCH(E674,Код_КВР,0)+1,2,,,"КВР")))</f>
        <v>Публичные нормативные социальные выплаты гражданам</v>
      </c>
      <c r="B674" s="79" t="s">
        <v>324</v>
      </c>
      <c r="C674" s="65" t="s">
        <v>53</v>
      </c>
      <c r="D674" s="65" t="s">
        <v>72</v>
      </c>
      <c r="E674" s="26">
        <v>310</v>
      </c>
      <c r="F674" s="62">
        <f>'прил. 8'!G387</f>
        <v>348</v>
      </c>
      <c r="G674" s="62">
        <f>'прил. 8'!H387</f>
        <v>0</v>
      </c>
      <c r="H674" s="49">
        <f t="shared" si="119"/>
        <v>348</v>
      </c>
      <c r="I674" s="62">
        <f>'прил. 8'!J387</f>
        <v>0</v>
      </c>
      <c r="J674" s="49">
        <f t="shared" si="129"/>
        <v>348</v>
      </c>
      <c r="K674" s="62">
        <f>'прил. 8'!L387</f>
        <v>0</v>
      </c>
      <c r="L674" s="49">
        <f t="shared" si="125"/>
        <v>348</v>
      </c>
      <c r="M674" s="62">
        <f>'прил. 8'!N387</f>
        <v>0</v>
      </c>
      <c r="N674" s="49">
        <f t="shared" si="127"/>
        <v>348</v>
      </c>
    </row>
    <row r="675" spans="1:14" ht="33" x14ac:dyDescent="0.2">
      <c r="A675" s="50" t="str">
        <f ca="1">IF(ISERROR(MATCH(B675,Код_КЦСР,0)),"",INDIRECT(ADDRESS(MATCH(B675,Код_КЦСР,0)+1,2,,,"КЦСР")))</f>
        <v>Социальная поддержка пенсионеров на условиях договора пожизненного содержания с иждивением</v>
      </c>
      <c r="B675" s="79" t="s">
        <v>325</v>
      </c>
      <c r="C675" s="65"/>
      <c r="D675" s="65"/>
      <c r="E675" s="26"/>
      <c r="F675" s="62">
        <f t="shared" ref="F675:M676" si="131">F676</f>
        <v>12689.400000000001</v>
      </c>
      <c r="G675" s="62">
        <f t="shared" si="131"/>
        <v>0</v>
      </c>
      <c r="H675" s="49">
        <f t="shared" si="119"/>
        <v>12689.400000000001</v>
      </c>
      <c r="I675" s="62">
        <f t="shared" si="131"/>
        <v>0</v>
      </c>
      <c r="J675" s="49">
        <f t="shared" si="129"/>
        <v>12689.400000000001</v>
      </c>
      <c r="K675" s="62">
        <f t="shared" si="131"/>
        <v>0</v>
      </c>
      <c r="L675" s="49">
        <f t="shared" si="125"/>
        <v>12689.400000000001</v>
      </c>
      <c r="M675" s="62">
        <f t="shared" si="131"/>
        <v>0</v>
      </c>
      <c r="N675" s="49">
        <f t="shared" si="127"/>
        <v>12689.400000000001</v>
      </c>
    </row>
    <row r="676" spans="1:14" x14ac:dyDescent="0.2">
      <c r="A676" s="50" t="str">
        <f ca="1">IF(ISERROR(MATCH(C676,Код_Раздел,0)),"",INDIRECT(ADDRESS(MATCH(C676,Код_Раздел,0)+1,2,,,"Раздел")))</f>
        <v>Социальная политика</v>
      </c>
      <c r="B676" s="79" t="s">
        <v>325</v>
      </c>
      <c r="C676" s="65" t="s">
        <v>53</v>
      </c>
      <c r="D676" s="46"/>
      <c r="E676" s="26"/>
      <c r="F676" s="62">
        <f t="shared" si="131"/>
        <v>12689.400000000001</v>
      </c>
      <c r="G676" s="62">
        <f t="shared" si="131"/>
        <v>0</v>
      </c>
      <c r="H676" s="49">
        <f t="shared" si="119"/>
        <v>12689.400000000001</v>
      </c>
      <c r="I676" s="62">
        <f t="shared" si="131"/>
        <v>0</v>
      </c>
      <c r="J676" s="49">
        <f t="shared" si="129"/>
        <v>12689.400000000001</v>
      </c>
      <c r="K676" s="62">
        <f t="shared" si="131"/>
        <v>0</v>
      </c>
      <c r="L676" s="49">
        <f t="shared" si="125"/>
        <v>12689.400000000001</v>
      </c>
      <c r="M676" s="62">
        <f t="shared" si="131"/>
        <v>0</v>
      </c>
      <c r="N676" s="49">
        <f t="shared" si="127"/>
        <v>12689.400000000001</v>
      </c>
    </row>
    <row r="677" spans="1:14" x14ac:dyDescent="0.2">
      <c r="A677" s="45" t="s">
        <v>44</v>
      </c>
      <c r="B677" s="79" t="s">
        <v>325</v>
      </c>
      <c r="C677" s="65" t="s">
        <v>53</v>
      </c>
      <c r="D677" s="65" t="s">
        <v>72</v>
      </c>
      <c r="E677" s="26"/>
      <c r="F677" s="62">
        <f>F678+F680</f>
        <v>12689.400000000001</v>
      </c>
      <c r="G677" s="62">
        <f>G678+G680</f>
        <v>0</v>
      </c>
      <c r="H677" s="49">
        <f t="shared" si="119"/>
        <v>12689.400000000001</v>
      </c>
      <c r="I677" s="62">
        <f>I678+I680</f>
        <v>0</v>
      </c>
      <c r="J677" s="49">
        <f t="shared" si="129"/>
        <v>12689.400000000001</v>
      </c>
      <c r="K677" s="62">
        <f>K678+K680</f>
        <v>0</v>
      </c>
      <c r="L677" s="49">
        <f t="shared" si="125"/>
        <v>12689.400000000001</v>
      </c>
      <c r="M677" s="62">
        <f>M678+M680</f>
        <v>0</v>
      </c>
      <c r="N677" s="49">
        <f t="shared" si="127"/>
        <v>12689.400000000001</v>
      </c>
    </row>
    <row r="678" spans="1:14" ht="33" x14ac:dyDescent="0.2">
      <c r="A678" s="50" t="str">
        <f ca="1">IF(ISERROR(MATCH(E678,Код_КВР,0)),"",INDIRECT(ADDRESS(MATCH(E678,Код_КВР,0)+1,2,,,"КВР")))</f>
        <v>Закупка товаров, работ и услуг для обеспечения государственных (муниципальных) нужд</v>
      </c>
      <c r="B678" s="79" t="s">
        <v>325</v>
      </c>
      <c r="C678" s="65" t="s">
        <v>53</v>
      </c>
      <c r="D678" s="65" t="s">
        <v>72</v>
      </c>
      <c r="E678" s="26">
        <v>200</v>
      </c>
      <c r="F678" s="62">
        <f>F679</f>
        <v>346.6</v>
      </c>
      <c r="G678" s="62">
        <f>G679</f>
        <v>0</v>
      </c>
      <c r="H678" s="49">
        <f t="shared" si="119"/>
        <v>346.6</v>
      </c>
      <c r="I678" s="62">
        <f>I679</f>
        <v>0</v>
      </c>
      <c r="J678" s="49">
        <f t="shared" si="129"/>
        <v>346.6</v>
      </c>
      <c r="K678" s="62">
        <f>K679</f>
        <v>0</v>
      </c>
      <c r="L678" s="49">
        <f t="shared" si="125"/>
        <v>346.6</v>
      </c>
      <c r="M678" s="62">
        <f>M679</f>
        <v>0</v>
      </c>
      <c r="N678" s="49">
        <f t="shared" si="127"/>
        <v>346.6</v>
      </c>
    </row>
    <row r="679" spans="1:14" ht="33" x14ac:dyDescent="0.2">
      <c r="A679" s="50" t="str">
        <f ca="1">IF(ISERROR(MATCH(E679,Код_КВР,0)),"",INDIRECT(ADDRESS(MATCH(E679,Код_КВР,0)+1,2,,,"КВР")))</f>
        <v>Иные закупки товаров, работ и услуг для обеспечения государственных (муниципальных) нужд</v>
      </c>
      <c r="B679" s="79" t="s">
        <v>325</v>
      </c>
      <c r="C679" s="65" t="s">
        <v>53</v>
      </c>
      <c r="D679" s="65" t="s">
        <v>72</v>
      </c>
      <c r="E679" s="26">
        <v>240</v>
      </c>
      <c r="F679" s="62">
        <f>'прил. 8'!G390+'прил. 8'!G615</f>
        <v>346.6</v>
      </c>
      <c r="G679" s="62">
        <f>'прил. 8'!H390+'прил. 8'!H615</f>
        <v>0</v>
      </c>
      <c r="H679" s="49">
        <f t="shared" si="119"/>
        <v>346.6</v>
      </c>
      <c r="I679" s="62">
        <f>'прил. 8'!J390+'прил. 8'!J615</f>
        <v>0</v>
      </c>
      <c r="J679" s="49">
        <f t="shared" si="129"/>
        <v>346.6</v>
      </c>
      <c r="K679" s="62">
        <f>'прил. 8'!L390+'прил. 8'!L615</f>
        <v>0</v>
      </c>
      <c r="L679" s="49">
        <f t="shared" si="125"/>
        <v>346.6</v>
      </c>
      <c r="M679" s="62">
        <f>'прил. 8'!N390+'прил. 8'!N615</f>
        <v>0</v>
      </c>
      <c r="N679" s="49">
        <f t="shared" si="127"/>
        <v>346.6</v>
      </c>
    </row>
    <row r="680" spans="1:14" x14ac:dyDescent="0.2">
      <c r="A680" s="50" t="str">
        <f ca="1">IF(ISERROR(MATCH(E680,Код_КВР,0)),"",INDIRECT(ADDRESS(MATCH(E680,Код_КВР,0)+1,2,,,"КВР")))</f>
        <v>Социальное обеспечение и иные выплаты населению</v>
      </c>
      <c r="B680" s="79" t="s">
        <v>325</v>
      </c>
      <c r="C680" s="65" t="s">
        <v>53</v>
      </c>
      <c r="D680" s="65" t="s">
        <v>72</v>
      </c>
      <c r="E680" s="26">
        <v>300</v>
      </c>
      <c r="F680" s="62">
        <f>F681</f>
        <v>12342.800000000001</v>
      </c>
      <c r="G680" s="62">
        <f>G681</f>
        <v>0</v>
      </c>
      <c r="H680" s="49">
        <f t="shared" si="119"/>
        <v>12342.800000000001</v>
      </c>
      <c r="I680" s="62">
        <f>I681</f>
        <v>0</v>
      </c>
      <c r="J680" s="49">
        <f t="shared" si="129"/>
        <v>12342.800000000001</v>
      </c>
      <c r="K680" s="62">
        <f>K681</f>
        <v>0</v>
      </c>
      <c r="L680" s="49">
        <f t="shared" si="125"/>
        <v>12342.800000000001</v>
      </c>
      <c r="M680" s="62">
        <f>M681</f>
        <v>0</v>
      </c>
      <c r="N680" s="49">
        <f t="shared" si="127"/>
        <v>12342.800000000001</v>
      </c>
    </row>
    <row r="681" spans="1:14" ht="33" x14ac:dyDescent="0.2">
      <c r="A681" s="50" t="str">
        <f ca="1">IF(ISERROR(MATCH(E681,Код_КВР,0)),"",INDIRECT(ADDRESS(MATCH(E681,Код_КВР,0)+1,2,,,"КВР")))</f>
        <v>Социальные выплаты гражданам, кроме публичных нормативных социальных выплат</v>
      </c>
      <c r="B681" s="79" t="s">
        <v>325</v>
      </c>
      <c r="C681" s="65" t="s">
        <v>53</v>
      </c>
      <c r="D681" s="65" t="s">
        <v>72</v>
      </c>
      <c r="E681" s="26">
        <v>320</v>
      </c>
      <c r="F681" s="62">
        <f>'прил. 8'!G392</f>
        <v>12342.800000000001</v>
      </c>
      <c r="G681" s="62">
        <f>'прил. 8'!H392</f>
        <v>0</v>
      </c>
      <c r="H681" s="49">
        <f t="shared" si="119"/>
        <v>12342.800000000001</v>
      </c>
      <c r="I681" s="62">
        <f>'прил. 8'!J392</f>
        <v>0</v>
      </c>
      <c r="J681" s="49">
        <f t="shared" si="129"/>
        <v>12342.800000000001</v>
      </c>
      <c r="K681" s="62">
        <f>'прил. 8'!L392</f>
        <v>0</v>
      </c>
      <c r="L681" s="49">
        <f t="shared" si="125"/>
        <v>12342.800000000001</v>
      </c>
      <c r="M681" s="62">
        <f>'прил. 8'!N392</f>
        <v>0</v>
      </c>
      <c r="N681" s="49">
        <f t="shared" si="127"/>
        <v>12342.800000000001</v>
      </c>
    </row>
    <row r="682" spans="1:14" x14ac:dyDescent="0.2">
      <c r="A682" s="50" t="str">
        <f ca="1">IF(ISERROR(MATCH(B682,Код_КЦСР,0)),"",INDIRECT(ADDRESS(MATCH(B682,Код_КЦСР,0)+1,2,,,"КЦСР")))</f>
        <v>Оплата услуг бани по льготным помывкам</v>
      </c>
      <c r="B682" s="79" t="s">
        <v>326</v>
      </c>
      <c r="C682" s="65"/>
      <c r="D682" s="65"/>
      <c r="E682" s="26"/>
      <c r="F682" s="62">
        <f t="shared" ref="F682:M685" si="132">F683</f>
        <v>71</v>
      </c>
      <c r="G682" s="62">
        <f t="shared" si="132"/>
        <v>0</v>
      </c>
      <c r="H682" s="49">
        <f t="shared" si="119"/>
        <v>71</v>
      </c>
      <c r="I682" s="62">
        <f t="shared" si="132"/>
        <v>0</v>
      </c>
      <c r="J682" s="49">
        <f t="shared" si="129"/>
        <v>71</v>
      </c>
      <c r="K682" s="62">
        <f t="shared" si="132"/>
        <v>0</v>
      </c>
      <c r="L682" s="49">
        <f t="shared" si="125"/>
        <v>71</v>
      </c>
      <c r="M682" s="62">
        <f t="shared" si="132"/>
        <v>0</v>
      </c>
      <c r="N682" s="49">
        <f t="shared" si="127"/>
        <v>71</v>
      </c>
    </row>
    <row r="683" spans="1:14" x14ac:dyDescent="0.2">
      <c r="A683" s="50" t="str">
        <f ca="1">IF(ISERROR(MATCH(C683,Код_Раздел,0)),"",INDIRECT(ADDRESS(MATCH(C683,Код_Раздел,0)+1,2,,,"Раздел")))</f>
        <v>Социальная политика</v>
      </c>
      <c r="B683" s="79" t="s">
        <v>326</v>
      </c>
      <c r="C683" s="65" t="s">
        <v>53</v>
      </c>
      <c r="D683" s="46"/>
      <c r="E683" s="26"/>
      <c r="F683" s="62">
        <f t="shared" si="132"/>
        <v>71</v>
      </c>
      <c r="G683" s="62">
        <f t="shared" si="132"/>
        <v>0</v>
      </c>
      <c r="H683" s="49">
        <f t="shared" si="119"/>
        <v>71</v>
      </c>
      <c r="I683" s="62">
        <f t="shared" si="132"/>
        <v>0</v>
      </c>
      <c r="J683" s="49">
        <f t="shared" si="129"/>
        <v>71</v>
      </c>
      <c r="K683" s="62">
        <f t="shared" si="132"/>
        <v>0</v>
      </c>
      <c r="L683" s="49">
        <f t="shared" si="125"/>
        <v>71</v>
      </c>
      <c r="M683" s="62">
        <f t="shared" si="132"/>
        <v>0</v>
      </c>
      <c r="N683" s="49">
        <f t="shared" si="127"/>
        <v>71</v>
      </c>
    </row>
    <row r="684" spans="1:14" x14ac:dyDescent="0.2">
      <c r="A684" s="45" t="s">
        <v>44</v>
      </c>
      <c r="B684" s="79" t="s">
        <v>326</v>
      </c>
      <c r="C684" s="65" t="s">
        <v>53</v>
      </c>
      <c r="D684" s="65" t="s">
        <v>72</v>
      </c>
      <c r="E684" s="26"/>
      <c r="F684" s="62">
        <f t="shared" si="132"/>
        <v>71</v>
      </c>
      <c r="G684" s="62">
        <f t="shared" si="132"/>
        <v>0</v>
      </c>
      <c r="H684" s="49">
        <f t="shared" ref="H684:H762" si="133">F684+G684</f>
        <v>71</v>
      </c>
      <c r="I684" s="62">
        <f t="shared" si="132"/>
        <v>0</v>
      </c>
      <c r="J684" s="49">
        <f t="shared" si="129"/>
        <v>71</v>
      </c>
      <c r="K684" s="62">
        <f t="shared" si="132"/>
        <v>0</v>
      </c>
      <c r="L684" s="49">
        <f t="shared" si="125"/>
        <v>71</v>
      </c>
      <c r="M684" s="62">
        <f t="shared" si="132"/>
        <v>0</v>
      </c>
      <c r="N684" s="49">
        <f t="shared" si="127"/>
        <v>71</v>
      </c>
    </row>
    <row r="685" spans="1:14" x14ac:dyDescent="0.2">
      <c r="A685" s="50" t="str">
        <f ca="1">IF(ISERROR(MATCH(E685,Код_КВР,0)),"",INDIRECT(ADDRESS(MATCH(E685,Код_КВР,0)+1,2,,,"КВР")))</f>
        <v>Социальное обеспечение и иные выплаты населению</v>
      </c>
      <c r="B685" s="79" t="s">
        <v>326</v>
      </c>
      <c r="C685" s="65" t="s">
        <v>53</v>
      </c>
      <c r="D685" s="65" t="s">
        <v>72</v>
      </c>
      <c r="E685" s="26">
        <v>300</v>
      </c>
      <c r="F685" s="62">
        <f t="shared" si="132"/>
        <v>71</v>
      </c>
      <c r="G685" s="62">
        <f t="shared" si="132"/>
        <v>0</v>
      </c>
      <c r="H685" s="49">
        <f t="shared" si="133"/>
        <v>71</v>
      </c>
      <c r="I685" s="62">
        <f t="shared" si="132"/>
        <v>0</v>
      </c>
      <c r="J685" s="49">
        <f t="shared" si="129"/>
        <v>71</v>
      </c>
      <c r="K685" s="62">
        <f t="shared" si="132"/>
        <v>0</v>
      </c>
      <c r="L685" s="49">
        <f t="shared" si="125"/>
        <v>71</v>
      </c>
      <c r="M685" s="62">
        <f t="shared" si="132"/>
        <v>0</v>
      </c>
      <c r="N685" s="49">
        <f t="shared" si="127"/>
        <v>71</v>
      </c>
    </row>
    <row r="686" spans="1:14" ht="33" x14ac:dyDescent="0.2">
      <c r="A686" s="50" t="str">
        <f ca="1">IF(ISERROR(MATCH(E686,Код_КВР,0)),"",INDIRECT(ADDRESS(MATCH(E686,Код_КВР,0)+1,2,,,"КВР")))</f>
        <v>Социальные выплаты гражданам, кроме публичных нормативных социальных выплат</v>
      </c>
      <c r="B686" s="79" t="s">
        <v>326</v>
      </c>
      <c r="C686" s="65" t="s">
        <v>53</v>
      </c>
      <c r="D686" s="65" t="s">
        <v>72</v>
      </c>
      <c r="E686" s="26">
        <v>320</v>
      </c>
      <c r="F686" s="62">
        <f>'прил. 8'!G618</f>
        <v>71</v>
      </c>
      <c r="G686" s="62">
        <f>'прил. 8'!H618</f>
        <v>0</v>
      </c>
      <c r="H686" s="49">
        <f t="shared" si="133"/>
        <v>71</v>
      </c>
      <c r="I686" s="62">
        <f>'прил. 8'!J618</f>
        <v>0</v>
      </c>
      <c r="J686" s="49">
        <f t="shared" si="129"/>
        <v>71</v>
      </c>
      <c r="K686" s="62">
        <f>'прил. 8'!L618</f>
        <v>0</v>
      </c>
      <c r="L686" s="49">
        <f t="shared" si="125"/>
        <v>71</v>
      </c>
      <c r="M686" s="62">
        <f>'прил. 8'!N618</f>
        <v>0</v>
      </c>
      <c r="N686" s="49">
        <f t="shared" si="127"/>
        <v>71</v>
      </c>
    </row>
    <row r="687" spans="1:14" ht="66" x14ac:dyDescent="0.2">
      <c r="A687" s="50" t="str">
        <f ca="1">IF(ISERROR(MATCH(B687,Код_КЦСР,0)),"",INDIRECT(ADDRESS(MATCH(B687,Код_КЦСР,0)+1,2,,,"КЦСР")))</f>
        <v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v>
      </c>
      <c r="B687" s="79" t="s">
        <v>573</v>
      </c>
      <c r="C687" s="65"/>
      <c r="D687" s="46"/>
      <c r="E687" s="26"/>
      <c r="F687" s="62">
        <f t="shared" ref="F687:M689" si="134">F688</f>
        <v>10345.599999999999</v>
      </c>
      <c r="G687" s="62">
        <f t="shared" si="134"/>
        <v>0</v>
      </c>
      <c r="H687" s="49">
        <f t="shared" si="133"/>
        <v>10345.599999999999</v>
      </c>
      <c r="I687" s="62">
        <f t="shared" si="134"/>
        <v>0</v>
      </c>
      <c r="J687" s="49">
        <f t="shared" si="129"/>
        <v>10345.599999999999</v>
      </c>
      <c r="K687" s="62">
        <f t="shared" si="134"/>
        <v>0</v>
      </c>
      <c r="L687" s="49">
        <f t="shared" si="125"/>
        <v>10345.599999999999</v>
      </c>
      <c r="M687" s="62">
        <f t="shared" si="134"/>
        <v>0</v>
      </c>
      <c r="N687" s="49">
        <f t="shared" si="127"/>
        <v>10345.599999999999</v>
      </c>
    </row>
    <row r="688" spans="1:14" ht="140.25" customHeight="1" x14ac:dyDescent="0.2">
      <c r="A688" s="50" t="str">
        <f ca="1">IF(ISERROR(MATCH(B688,Код_КЦСР,0)),"",INDIRECT(ADDRESS(MATCH(B688,Код_КЦСР,0)+1,2,,,"КЦСР")))</f>
        <v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государственных образовательных организациях), лиц из числа детей указанных категорий» за счет средств областного бюджета</v>
      </c>
      <c r="B688" s="79" t="s">
        <v>574</v>
      </c>
      <c r="C688" s="65"/>
      <c r="D688" s="46"/>
      <c r="E688" s="26"/>
      <c r="F688" s="62">
        <f t="shared" si="134"/>
        <v>10345.599999999999</v>
      </c>
      <c r="G688" s="62">
        <f t="shared" si="134"/>
        <v>0</v>
      </c>
      <c r="H688" s="49">
        <f t="shared" si="133"/>
        <v>10345.599999999999</v>
      </c>
      <c r="I688" s="62">
        <f t="shared" si="134"/>
        <v>0</v>
      </c>
      <c r="J688" s="49">
        <f t="shared" si="129"/>
        <v>10345.599999999999</v>
      </c>
      <c r="K688" s="62">
        <f t="shared" si="134"/>
        <v>0</v>
      </c>
      <c r="L688" s="49">
        <f t="shared" si="125"/>
        <v>10345.599999999999</v>
      </c>
      <c r="M688" s="62">
        <f t="shared" si="134"/>
        <v>0</v>
      </c>
      <c r="N688" s="49">
        <f t="shared" si="127"/>
        <v>10345.599999999999</v>
      </c>
    </row>
    <row r="689" spans="1:14" x14ac:dyDescent="0.2">
      <c r="A689" s="50" t="str">
        <f ca="1">IF(ISERROR(MATCH(C689,Код_Раздел,0)),"",INDIRECT(ADDRESS(MATCH(C689,Код_Раздел,0)+1,2,,,"Раздел")))</f>
        <v>Социальная политика</v>
      </c>
      <c r="B689" s="79" t="s">
        <v>574</v>
      </c>
      <c r="C689" s="65" t="s">
        <v>53</v>
      </c>
      <c r="D689" s="46"/>
      <c r="E689" s="26"/>
      <c r="F689" s="62">
        <f t="shared" si="134"/>
        <v>10345.599999999999</v>
      </c>
      <c r="G689" s="62">
        <f t="shared" si="134"/>
        <v>0</v>
      </c>
      <c r="H689" s="49">
        <f t="shared" si="133"/>
        <v>10345.599999999999</v>
      </c>
      <c r="I689" s="62">
        <f t="shared" si="134"/>
        <v>0</v>
      </c>
      <c r="J689" s="49">
        <f t="shared" si="129"/>
        <v>10345.599999999999</v>
      </c>
      <c r="K689" s="62">
        <f t="shared" si="134"/>
        <v>0</v>
      </c>
      <c r="L689" s="49">
        <f t="shared" si="125"/>
        <v>10345.599999999999</v>
      </c>
      <c r="M689" s="62">
        <f t="shared" si="134"/>
        <v>0</v>
      </c>
      <c r="N689" s="49">
        <f t="shared" si="127"/>
        <v>10345.599999999999</v>
      </c>
    </row>
    <row r="690" spans="1:14" x14ac:dyDescent="0.2">
      <c r="A690" s="45" t="s">
        <v>54</v>
      </c>
      <c r="B690" s="79" t="s">
        <v>574</v>
      </c>
      <c r="C690" s="65" t="s">
        <v>53</v>
      </c>
      <c r="D690" s="65" t="s">
        <v>74</v>
      </c>
      <c r="E690" s="26"/>
      <c r="F690" s="62">
        <f>F691+F693+F695</f>
        <v>10345.599999999999</v>
      </c>
      <c r="G690" s="62">
        <f>G691+G693+G695</f>
        <v>0</v>
      </c>
      <c r="H690" s="49">
        <f t="shared" si="133"/>
        <v>10345.599999999999</v>
      </c>
      <c r="I690" s="62">
        <f>I691+I693+I695</f>
        <v>0</v>
      </c>
      <c r="J690" s="49">
        <f t="shared" si="129"/>
        <v>10345.599999999999</v>
      </c>
      <c r="K690" s="62">
        <f>K691+K693+K695</f>
        <v>0</v>
      </c>
      <c r="L690" s="49">
        <f t="shared" si="125"/>
        <v>10345.599999999999</v>
      </c>
      <c r="M690" s="62">
        <f>M691+M693+M695</f>
        <v>0</v>
      </c>
      <c r="N690" s="49">
        <f t="shared" si="127"/>
        <v>10345.599999999999</v>
      </c>
    </row>
    <row r="691" spans="1:14" ht="49.5" x14ac:dyDescent="0.2">
      <c r="A691" s="50" t="str">
        <f t="shared" ref="A691:A696" ca="1" si="135">IF(ISERROR(MATCH(E691,Код_КВР,0)),"",INDIRECT(ADDRESS(MATCH(E691,Код_КВР,0)+1,2,,,"КВР")))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91" s="79" t="s">
        <v>574</v>
      </c>
      <c r="C691" s="65" t="s">
        <v>53</v>
      </c>
      <c r="D691" s="65" t="s">
        <v>74</v>
      </c>
      <c r="E691" s="26">
        <v>100</v>
      </c>
      <c r="F691" s="62">
        <f>F692</f>
        <v>9345.7999999999993</v>
      </c>
      <c r="G691" s="62">
        <f>G692</f>
        <v>0</v>
      </c>
      <c r="H691" s="49">
        <f t="shared" si="133"/>
        <v>9345.7999999999993</v>
      </c>
      <c r="I691" s="62">
        <f>I692</f>
        <v>0</v>
      </c>
      <c r="J691" s="49">
        <f t="shared" si="129"/>
        <v>9345.7999999999993</v>
      </c>
      <c r="K691" s="62">
        <f>K692</f>
        <v>0</v>
      </c>
      <c r="L691" s="49">
        <f t="shared" si="125"/>
        <v>9345.7999999999993</v>
      </c>
      <c r="M691" s="62">
        <f>M692</f>
        <v>0</v>
      </c>
      <c r="N691" s="49">
        <f t="shared" si="127"/>
        <v>9345.7999999999993</v>
      </c>
    </row>
    <row r="692" spans="1:14" x14ac:dyDescent="0.2">
      <c r="A692" s="50" t="str">
        <f t="shared" ca="1" si="135"/>
        <v>Расходы на выплаты персоналу государственных (муниципальных) органов</v>
      </c>
      <c r="B692" s="79" t="s">
        <v>574</v>
      </c>
      <c r="C692" s="65" t="s">
        <v>53</v>
      </c>
      <c r="D692" s="65" t="s">
        <v>74</v>
      </c>
      <c r="E692" s="26">
        <v>120</v>
      </c>
      <c r="F692" s="62">
        <f>'прил. 8'!G437</f>
        <v>9345.7999999999993</v>
      </c>
      <c r="G692" s="62">
        <f>'прил. 8'!H437</f>
        <v>0</v>
      </c>
      <c r="H692" s="49">
        <f t="shared" si="133"/>
        <v>9345.7999999999993</v>
      </c>
      <c r="I692" s="62">
        <f>'прил. 8'!J437</f>
        <v>0</v>
      </c>
      <c r="J692" s="49">
        <f t="shared" si="129"/>
        <v>9345.7999999999993</v>
      </c>
      <c r="K692" s="62">
        <f>'прил. 8'!L437</f>
        <v>0</v>
      </c>
      <c r="L692" s="49">
        <f t="shared" si="125"/>
        <v>9345.7999999999993</v>
      </c>
      <c r="M692" s="62">
        <f>'прил. 8'!N437</f>
        <v>0</v>
      </c>
      <c r="N692" s="49">
        <f t="shared" si="127"/>
        <v>9345.7999999999993</v>
      </c>
    </row>
    <row r="693" spans="1:14" ht="33" x14ac:dyDescent="0.2">
      <c r="A693" s="50" t="str">
        <f t="shared" ca="1" si="135"/>
        <v>Закупка товаров, работ и услуг для обеспечения государственных (муниципальных) нужд</v>
      </c>
      <c r="B693" s="79" t="s">
        <v>574</v>
      </c>
      <c r="C693" s="65" t="s">
        <v>53</v>
      </c>
      <c r="D693" s="65" t="s">
        <v>74</v>
      </c>
      <c r="E693" s="26">
        <v>200</v>
      </c>
      <c r="F693" s="62">
        <f>F694</f>
        <v>999.8</v>
      </c>
      <c r="G693" s="62">
        <f>G694</f>
        <v>0</v>
      </c>
      <c r="H693" s="49">
        <f t="shared" si="133"/>
        <v>999.8</v>
      </c>
      <c r="I693" s="62">
        <f>I694</f>
        <v>0</v>
      </c>
      <c r="J693" s="49">
        <f t="shared" si="129"/>
        <v>999.8</v>
      </c>
      <c r="K693" s="62">
        <f>K694</f>
        <v>0</v>
      </c>
      <c r="L693" s="49">
        <f t="shared" si="125"/>
        <v>999.8</v>
      </c>
      <c r="M693" s="62">
        <f>M694</f>
        <v>0</v>
      </c>
      <c r="N693" s="49">
        <f t="shared" si="127"/>
        <v>999.8</v>
      </c>
    </row>
    <row r="694" spans="1:14" ht="33" x14ac:dyDescent="0.2">
      <c r="A694" s="50" t="str">
        <f t="shared" ca="1" si="135"/>
        <v>Иные закупки товаров, работ и услуг для обеспечения государственных (муниципальных) нужд</v>
      </c>
      <c r="B694" s="79" t="s">
        <v>574</v>
      </c>
      <c r="C694" s="65" t="s">
        <v>53</v>
      </c>
      <c r="D694" s="65" t="s">
        <v>74</v>
      </c>
      <c r="E694" s="26">
        <v>240</v>
      </c>
      <c r="F694" s="62">
        <f>'прил. 8'!G439</f>
        <v>999.8</v>
      </c>
      <c r="G694" s="62">
        <f>'прил. 8'!H439</f>
        <v>0</v>
      </c>
      <c r="H694" s="49">
        <f t="shared" si="133"/>
        <v>999.8</v>
      </c>
      <c r="I694" s="62">
        <f>'прил. 8'!J439</f>
        <v>0</v>
      </c>
      <c r="J694" s="49">
        <f t="shared" si="129"/>
        <v>999.8</v>
      </c>
      <c r="K694" s="62">
        <f>'прил. 8'!L439</f>
        <v>0</v>
      </c>
      <c r="L694" s="49">
        <f t="shared" si="125"/>
        <v>999.8</v>
      </c>
      <c r="M694" s="62">
        <f>'прил. 8'!N439</f>
        <v>0</v>
      </c>
      <c r="N694" s="49">
        <f t="shared" si="127"/>
        <v>999.8</v>
      </c>
    </row>
    <row r="695" spans="1:14" x14ac:dyDescent="0.2">
      <c r="A695" s="50" t="str">
        <f t="shared" ca="1" si="135"/>
        <v>Иные бюджетные ассигнования</v>
      </c>
      <c r="B695" s="79" t="s">
        <v>574</v>
      </c>
      <c r="C695" s="65" t="s">
        <v>53</v>
      </c>
      <c r="D695" s="65" t="s">
        <v>74</v>
      </c>
      <c r="E695" s="26">
        <v>800</v>
      </c>
      <c r="F695" s="62">
        <f>F696</f>
        <v>0</v>
      </c>
      <c r="G695" s="62">
        <f>G696</f>
        <v>0</v>
      </c>
      <c r="H695" s="49">
        <f t="shared" si="133"/>
        <v>0</v>
      </c>
      <c r="I695" s="62">
        <f>I696</f>
        <v>0</v>
      </c>
      <c r="J695" s="49">
        <f t="shared" si="129"/>
        <v>0</v>
      </c>
      <c r="K695" s="62">
        <f>K696</f>
        <v>0</v>
      </c>
      <c r="L695" s="49">
        <f t="shared" si="125"/>
        <v>0</v>
      </c>
      <c r="M695" s="62">
        <f>M696</f>
        <v>0</v>
      </c>
      <c r="N695" s="49">
        <f t="shared" si="127"/>
        <v>0</v>
      </c>
    </row>
    <row r="696" spans="1:14" x14ac:dyDescent="0.2">
      <c r="A696" s="50" t="str">
        <f t="shared" ca="1" si="135"/>
        <v>Уплата налогов, сборов и иных платежей</v>
      </c>
      <c r="B696" s="79" t="s">
        <v>574</v>
      </c>
      <c r="C696" s="65" t="s">
        <v>53</v>
      </c>
      <c r="D696" s="65" t="s">
        <v>74</v>
      </c>
      <c r="E696" s="26">
        <v>850</v>
      </c>
      <c r="F696" s="62">
        <f>'прил. 8'!G441</f>
        <v>0</v>
      </c>
      <c r="G696" s="62">
        <f>'прил. 8'!H441</f>
        <v>0</v>
      </c>
      <c r="H696" s="49">
        <f t="shared" si="133"/>
        <v>0</v>
      </c>
      <c r="I696" s="62">
        <f>'прил. 8'!J441</f>
        <v>0</v>
      </c>
      <c r="J696" s="49">
        <f t="shared" si="129"/>
        <v>0</v>
      </c>
      <c r="K696" s="62">
        <f>'прил. 8'!L441</f>
        <v>0</v>
      </c>
      <c r="L696" s="49">
        <f t="shared" si="125"/>
        <v>0</v>
      </c>
      <c r="M696" s="62">
        <f>'прил. 8'!N441</f>
        <v>0</v>
      </c>
      <c r="N696" s="49">
        <f t="shared" si="127"/>
        <v>0</v>
      </c>
    </row>
    <row r="697" spans="1:14" ht="33" x14ac:dyDescent="0.2">
      <c r="A697" s="50" t="str">
        <f ca="1">IF(ISERROR(MATCH(B697,Код_КЦСР,0)),"",INDIRECT(ADDRESS(MATCH(B697,Код_КЦСР,0)+1,2,,,"КЦСР")))</f>
        <v>Укрепление материально-технической базы в загородных оздоровительных учреждениях</v>
      </c>
      <c r="B697" s="79" t="s">
        <v>575</v>
      </c>
      <c r="C697" s="65"/>
      <c r="D697" s="65"/>
      <c r="E697" s="26"/>
      <c r="F697" s="62">
        <f t="shared" ref="F697:M700" si="136">F698</f>
        <v>8973.5</v>
      </c>
      <c r="G697" s="62">
        <f t="shared" si="136"/>
        <v>0</v>
      </c>
      <c r="H697" s="49">
        <f t="shared" si="133"/>
        <v>8973.5</v>
      </c>
      <c r="I697" s="62">
        <f t="shared" si="136"/>
        <v>0</v>
      </c>
      <c r="J697" s="49">
        <f t="shared" si="129"/>
        <v>8973.5</v>
      </c>
      <c r="K697" s="62">
        <f t="shared" si="136"/>
        <v>0</v>
      </c>
      <c r="L697" s="49">
        <f t="shared" si="125"/>
        <v>8973.5</v>
      </c>
      <c r="M697" s="62">
        <f t="shared" si="136"/>
        <v>0</v>
      </c>
      <c r="N697" s="49">
        <f t="shared" si="127"/>
        <v>8973.5</v>
      </c>
    </row>
    <row r="698" spans="1:14" x14ac:dyDescent="0.2">
      <c r="A698" s="50" t="str">
        <f ca="1">IF(ISERROR(MATCH(C698,Код_Раздел,0)),"",INDIRECT(ADDRESS(MATCH(C698,Код_Раздел,0)+1,2,,,"Раздел")))</f>
        <v>Социальная политика</v>
      </c>
      <c r="B698" s="79" t="s">
        <v>575</v>
      </c>
      <c r="C698" s="65" t="s">
        <v>53</v>
      </c>
      <c r="D698" s="46"/>
      <c r="E698" s="26"/>
      <c r="F698" s="62">
        <f t="shared" si="136"/>
        <v>8973.5</v>
      </c>
      <c r="G698" s="62">
        <f t="shared" si="136"/>
        <v>0</v>
      </c>
      <c r="H698" s="49">
        <f t="shared" si="133"/>
        <v>8973.5</v>
      </c>
      <c r="I698" s="62">
        <f t="shared" si="136"/>
        <v>0</v>
      </c>
      <c r="J698" s="49">
        <f t="shared" si="129"/>
        <v>8973.5</v>
      </c>
      <c r="K698" s="62">
        <f t="shared" si="136"/>
        <v>0</v>
      </c>
      <c r="L698" s="49">
        <f t="shared" si="125"/>
        <v>8973.5</v>
      </c>
      <c r="M698" s="62">
        <f t="shared" si="136"/>
        <v>0</v>
      </c>
      <c r="N698" s="49">
        <f t="shared" si="127"/>
        <v>8973.5</v>
      </c>
    </row>
    <row r="699" spans="1:14" x14ac:dyDescent="0.2">
      <c r="A699" s="45" t="s">
        <v>54</v>
      </c>
      <c r="B699" s="79" t="s">
        <v>575</v>
      </c>
      <c r="C699" s="65" t="s">
        <v>53</v>
      </c>
      <c r="D699" s="65" t="s">
        <v>74</v>
      </c>
      <c r="E699" s="26"/>
      <c r="F699" s="62">
        <f t="shared" si="136"/>
        <v>8973.5</v>
      </c>
      <c r="G699" s="62">
        <f t="shared" si="136"/>
        <v>0</v>
      </c>
      <c r="H699" s="49">
        <f t="shared" si="133"/>
        <v>8973.5</v>
      </c>
      <c r="I699" s="62">
        <f t="shared" si="136"/>
        <v>0</v>
      </c>
      <c r="J699" s="49">
        <f t="shared" si="129"/>
        <v>8973.5</v>
      </c>
      <c r="K699" s="62">
        <f t="shared" si="136"/>
        <v>0</v>
      </c>
      <c r="L699" s="49">
        <f t="shared" si="125"/>
        <v>8973.5</v>
      </c>
      <c r="M699" s="62">
        <f t="shared" si="136"/>
        <v>0</v>
      </c>
      <c r="N699" s="49">
        <f t="shared" si="127"/>
        <v>8973.5</v>
      </c>
    </row>
    <row r="700" spans="1:14" ht="33" x14ac:dyDescent="0.2">
      <c r="A700" s="50" t="str">
        <f t="shared" ref="A700:A701" ca="1" si="137">IF(ISERROR(MATCH(E700,Код_КВР,0)),"",INDIRECT(ADDRESS(MATCH(E700,Код_КВР,0)+1,2,,,"КВР")))</f>
        <v>Закупка товаров, работ и услуг для обеспечения государственных (муниципальных) нужд</v>
      </c>
      <c r="B700" s="79" t="s">
        <v>575</v>
      </c>
      <c r="C700" s="65" t="s">
        <v>53</v>
      </c>
      <c r="D700" s="65" t="s">
        <v>74</v>
      </c>
      <c r="E700" s="26">
        <v>200</v>
      </c>
      <c r="F700" s="62">
        <f t="shared" si="136"/>
        <v>8973.5</v>
      </c>
      <c r="G700" s="62">
        <f t="shared" si="136"/>
        <v>0</v>
      </c>
      <c r="H700" s="49">
        <f t="shared" si="133"/>
        <v>8973.5</v>
      </c>
      <c r="I700" s="62">
        <f t="shared" si="136"/>
        <v>0</v>
      </c>
      <c r="J700" s="49">
        <f t="shared" si="129"/>
        <v>8973.5</v>
      </c>
      <c r="K700" s="62">
        <f t="shared" si="136"/>
        <v>0</v>
      </c>
      <c r="L700" s="49">
        <f t="shared" si="125"/>
        <v>8973.5</v>
      </c>
      <c r="M700" s="62">
        <f t="shared" si="136"/>
        <v>0</v>
      </c>
      <c r="N700" s="49">
        <f t="shared" si="127"/>
        <v>8973.5</v>
      </c>
    </row>
    <row r="701" spans="1:14" ht="33" x14ac:dyDescent="0.2">
      <c r="A701" s="50" t="str">
        <f t="shared" ca="1" si="137"/>
        <v>Иные закупки товаров, работ и услуг для обеспечения государственных (муниципальных) нужд</v>
      </c>
      <c r="B701" s="79" t="s">
        <v>575</v>
      </c>
      <c r="C701" s="65" t="s">
        <v>53</v>
      </c>
      <c r="D701" s="65" t="s">
        <v>74</v>
      </c>
      <c r="E701" s="26">
        <v>240</v>
      </c>
      <c r="F701" s="62">
        <f>'прил. 8'!G1305</f>
        <v>8973.5</v>
      </c>
      <c r="G701" s="62">
        <f>'прил. 8'!H1305</f>
        <v>0</v>
      </c>
      <c r="H701" s="49">
        <f t="shared" si="133"/>
        <v>8973.5</v>
      </c>
      <c r="I701" s="62">
        <f>'прил. 8'!J1305</f>
        <v>0</v>
      </c>
      <c r="J701" s="49">
        <f t="shared" si="129"/>
        <v>8973.5</v>
      </c>
      <c r="K701" s="62">
        <f>'прил. 8'!L1305</f>
        <v>0</v>
      </c>
      <c r="L701" s="49">
        <f t="shared" si="125"/>
        <v>8973.5</v>
      </c>
      <c r="M701" s="62">
        <f>'прил. 8'!N1305</f>
        <v>0</v>
      </c>
      <c r="N701" s="49">
        <f t="shared" si="127"/>
        <v>8973.5</v>
      </c>
    </row>
    <row r="702" spans="1:14" ht="33" x14ac:dyDescent="0.2">
      <c r="A702" s="50" t="str">
        <f ca="1">IF(ISERROR(MATCH(B702,Код_КЦСР,0)),"",INDIRECT(ADDRESS(MATCH(B702,Код_КЦСР,0)+1,2,,,"КЦСР")))</f>
        <v>Муниципальная программа «Обеспечение жильем отдельных категорий граждан» на 2014 – 2020 годы</v>
      </c>
      <c r="B702" s="79" t="s">
        <v>327</v>
      </c>
      <c r="C702" s="65"/>
      <c r="D702" s="46"/>
      <c r="E702" s="26"/>
      <c r="F702" s="62">
        <f>F719+F742+F703</f>
        <v>19627.400000000001</v>
      </c>
      <c r="G702" s="62">
        <f>G719+G742+G703</f>
        <v>0</v>
      </c>
      <c r="H702" s="49">
        <f t="shared" si="133"/>
        <v>19627.400000000001</v>
      </c>
      <c r="I702" s="62">
        <f>I719+I742+I703</f>
        <v>-1910.2</v>
      </c>
      <c r="J702" s="49">
        <f t="shared" si="129"/>
        <v>17717.2</v>
      </c>
      <c r="K702" s="62">
        <f>K719+K742+K703</f>
        <v>1273.5</v>
      </c>
      <c r="L702" s="49">
        <f t="shared" si="125"/>
        <v>18990.7</v>
      </c>
      <c r="M702" s="62">
        <f>M719+M742+M703</f>
        <v>4938.6000000000004</v>
      </c>
      <c r="N702" s="49">
        <f t="shared" si="127"/>
        <v>23929.300000000003</v>
      </c>
    </row>
    <row r="703" spans="1:14" ht="58.5" customHeight="1" x14ac:dyDescent="0.2">
      <c r="A703" s="50" t="str">
        <f ca="1">IF(ISERROR(MATCH(B703,Код_КЦСР,0)),"",INDIRECT(ADDRESS(MATCH(B703,Код_КЦСР,0)+1,2,,,"КЦСР")))</f>
        <v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v>
      </c>
      <c r="B703" s="79" t="s">
        <v>470</v>
      </c>
      <c r="C703" s="65"/>
      <c r="D703" s="46"/>
      <c r="E703" s="26"/>
      <c r="F703" s="62">
        <f>F704+F709</f>
        <v>10188</v>
      </c>
      <c r="G703" s="62">
        <f>G704+G709</f>
        <v>0</v>
      </c>
      <c r="H703" s="49">
        <f t="shared" si="133"/>
        <v>10188</v>
      </c>
      <c r="I703" s="62">
        <f>I709+I714</f>
        <v>-1910.2</v>
      </c>
      <c r="J703" s="49">
        <f t="shared" si="129"/>
        <v>8277.7999999999993</v>
      </c>
      <c r="K703" s="62">
        <f>K704+K709</f>
        <v>1273.5</v>
      </c>
      <c r="L703" s="49">
        <f t="shared" si="125"/>
        <v>9551.2999999999993</v>
      </c>
      <c r="M703" s="62">
        <f>M704+M709</f>
        <v>0</v>
      </c>
      <c r="N703" s="49">
        <f t="shared" si="127"/>
        <v>9551.2999999999993</v>
      </c>
    </row>
    <row r="704" spans="1:14" ht="102.75" customHeight="1" x14ac:dyDescent="0.2">
      <c r="A704" s="50" t="str">
        <f ca="1">IF(ISERROR(MATCH(B704,Код_КЦСР,0)),"",INDIRECT(ADDRESS(MATCH(B704,Код_КЦСР,0)+1,2,,,"КЦСР")))</f>
        <v>Осуществление полномочий по обеспечению жильем отдельных категорий граждан, установленных Федеральным законом от   12 января 1995 года № 5-ФЗ «О ветеранах», в соответствии с Указом Президента Российской Федерации от 7 мая 2008 года  № 714 «Об обеспечении жильем ветеранов Великой Отечественной войны 1941 – 1945 годов», за счет средств федерального бюджета</v>
      </c>
      <c r="B704" s="79" t="s">
        <v>472</v>
      </c>
      <c r="C704" s="65"/>
      <c r="D704" s="46"/>
      <c r="E704" s="26"/>
      <c r="F704" s="62">
        <f t="shared" ref="F704:M707" si="138">F705</f>
        <v>0</v>
      </c>
      <c r="G704" s="62">
        <f t="shared" si="138"/>
        <v>0</v>
      </c>
      <c r="H704" s="49">
        <f t="shared" si="133"/>
        <v>0</v>
      </c>
      <c r="I704" s="62">
        <f t="shared" si="138"/>
        <v>0</v>
      </c>
      <c r="J704" s="49">
        <f t="shared" si="129"/>
        <v>0</v>
      </c>
      <c r="K704" s="62">
        <f t="shared" si="138"/>
        <v>1273.5</v>
      </c>
      <c r="L704" s="49">
        <f t="shared" si="125"/>
        <v>1273.5</v>
      </c>
      <c r="M704" s="62">
        <f t="shared" si="138"/>
        <v>0</v>
      </c>
      <c r="N704" s="49">
        <f t="shared" si="127"/>
        <v>1273.5</v>
      </c>
    </row>
    <row r="705" spans="1:14" x14ac:dyDescent="0.2">
      <c r="A705" s="50" t="str">
        <f ca="1">IF(ISERROR(MATCH(C705,Код_Раздел,0)),"",INDIRECT(ADDRESS(MATCH(C705,Код_Раздел,0)+1,2,,,"Раздел")))</f>
        <v>Социальная политика</v>
      </c>
      <c r="B705" s="79" t="s">
        <v>472</v>
      </c>
      <c r="C705" s="65" t="s">
        <v>53</v>
      </c>
      <c r="D705" s="46"/>
      <c r="E705" s="26"/>
      <c r="F705" s="62">
        <f t="shared" si="138"/>
        <v>0</v>
      </c>
      <c r="G705" s="62">
        <f t="shared" si="138"/>
        <v>0</v>
      </c>
      <c r="H705" s="49">
        <f t="shared" si="133"/>
        <v>0</v>
      </c>
      <c r="I705" s="62">
        <f t="shared" si="138"/>
        <v>0</v>
      </c>
      <c r="J705" s="49">
        <f t="shared" si="129"/>
        <v>0</v>
      </c>
      <c r="K705" s="62">
        <f t="shared" si="138"/>
        <v>1273.5</v>
      </c>
      <c r="L705" s="49">
        <f t="shared" si="125"/>
        <v>1273.5</v>
      </c>
      <c r="M705" s="62">
        <f t="shared" si="138"/>
        <v>0</v>
      </c>
      <c r="N705" s="49">
        <f t="shared" si="127"/>
        <v>1273.5</v>
      </c>
    </row>
    <row r="706" spans="1:14" x14ac:dyDescent="0.2">
      <c r="A706" s="50" t="s">
        <v>44</v>
      </c>
      <c r="B706" s="79" t="s">
        <v>472</v>
      </c>
      <c r="C706" s="65" t="s">
        <v>53</v>
      </c>
      <c r="D706" s="46" t="s">
        <v>72</v>
      </c>
      <c r="E706" s="26"/>
      <c r="F706" s="62">
        <f t="shared" si="138"/>
        <v>0</v>
      </c>
      <c r="G706" s="62">
        <f t="shared" si="138"/>
        <v>0</v>
      </c>
      <c r="H706" s="49">
        <f t="shared" si="133"/>
        <v>0</v>
      </c>
      <c r="I706" s="62">
        <f t="shared" si="138"/>
        <v>0</v>
      </c>
      <c r="J706" s="49">
        <f t="shared" si="129"/>
        <v>0</v>
      </c>
      <c r="K706" s="62">
        <f t="shared" si="138"/>
        <v>1273.5</v>
      </c>
      <c r="L706" s="49">
        <f t="shared" si="125"/>
        <v>1273.5</v>
      </c>
      <c r="M706" s="62">
        <f t="shared" si="138"/>
        <v>0</v>
      </c>
      <c r="N706" s="49">
        <f t="shared" si="127"/>
        <v>1273.5</v>
      </c>
    </row>
    <row r="707" spans="1:14" x14ac:dyDescent="0.2">
      <c r="A707" s="50" t="str">
        <f ca="1">IF(ISERROR(MATCH(E707,Код_КВР,0)),"",INDIRECT(ADDRESS(MATCH(E707,Код_КВР,0)+1,2,,,"КВР")))</f>
        <v>Социальное обеспечение и иные выплаты населению</v>
      </c>
      <c r="B707" s="79" t="s">
        <v>472</v>
      </c>
      <c r="C707" s="65" t="s">
        <v>53</v>
      </c>
      <c r="D707" s="46" t="s">
        <v>72</v>
      </c>
      <c r="E707" s="26">
        <v>300</v>
      </c>
      <c r="F707" s="62">
        <f t="shared" si="138"/>
        <v>0</v>
      </c>
      <c r="G707" s="62">
        <f t="shared" si="138"/>
        <v>0</v>
      </c>
      <c r="H707" s="49">
        <f t="shared" si="133"/>
        <v>0</v>
      </c>
      <c r="I707" s="62">
        <f t="shared" si="138"/>
        <v>0</v>
      </c>
      <c r="J707" s="49">
        <f t="shared" si="129"/>
        <v>0</v>
      </c>
      <c r="K707" s="62">
        <f t="shared" si="138"/>
        <v>1273.5</v>
      </c>
      <c r="L707" s="49">
        <f t="shared" si="125"/>
        <v>1273.5</v>
      </c>
      <c r="M707" s="62">
        <f t="shared" si="138"/>
        <v>0</v>
      </c>
      <c r="N707" s="49">
        <f t="shared" si="127"/>
        <v>1273.5</v>
      </c>
    </row>
    <row r="708" spans="1:14" ht="40.5" customHeight="1" x14ac:dyDescent="0.2">
      <c r="A708" s="50" t="str">
        <f ca="1">IF(ISERROR(MATCH(E708,Код_КВР,0)),"",INDIRECT(ADDRESS(MATCH(E708,Код_КВР,0)+1,2,,,"КВР")))</f>
        <v>Социальные выплаты гражданам, кроме публичных нормативных социальных выплат</v>
      </c>
      <c r="B708" s="79" t="s">
        <v>472</v>
      </c>
      <c r="C708" s="65" t="s">
        <v>53</v>
      </c>
      <c r="D708" s="46" t="s">
        <v>72</v>
      </c>
      <c r="E708" s="26">
        <v>320</v>
      </c>
      <c r="F708" s="62">
        <f>'прил. 8'!G397</f>
        <v>0</v>
      </c>
      <c r="G708" s="62">
        <f>'прил. 8'!H397</f>
        <v>0</v>
      </c>
      <c r="H708" s="49">
        <f t="shared" si="133"/>
        <v>0</v>
      </c>
      <c r="I708" s="62">
        <f>'прил. 8'!J397</f>
        <v>0</v>
      </c>
      <c r="J708" s="49">
        <f t="shared" si="129"/>
        <v>0</v>
      </c>
      <c r="K708" s="62">
        <f>'прил. 8'!L397</f>
        <v>1273.5</v>
      </c>
      <c r="L708" s="49">
        <f t="shared" si="125"/>
        <v>1273.5</v>
      </c>
      <c r="M708" s="62">
        <f>'прил. 8'!N397</f>
        <v>0</v>
      </c>
      <c r="N708" s="49">
        <f t="shared" si="127"/>
        <v>1273.5</v>
      </c>
    </row>
    <row r="709" spans="1:14" ht="49.5" x14ac:dyDescent="0.2">
      <c r="A709" s="50" t="str">
        <f ca="1">IF(ISERROR(MATCH(B709,Код_КЦСР,0)),"",INDIRECT(ADDRESS(MATCH(B709,Код_КЦСР,0)+1,2,,,"КЦСР")))</f>
        <v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за счет средств федерального бюджета</v>
      </c>
      <c r="B709" s="79" t="s">
        <v>473</v>
      </c>
      <c r="C709" s="65"/>
      <c r="D709" s="46"/>
      <c r="E709" s="26"/>
      <c r="F709" s="62">
        <f t="shared" ref="F709:M712" si="139">F710</f>
        <v>10188</v>
      </c>
      <c r="G709" s="62">
        <f t="shared" si="139"/>
        <v>0</v>
      </c>
      <c r="H709" s="49">
        <f t="shared" si="133"/>
        <v>10188</v>
      </c>
      <c r="I709" s="62">
        <f t="shared" si="139"/>
        <v>-3820.5</v>
      </c>
      <c r="J709" s="49">
        <f t="shared" si="129"/>
        <v>6367.5</v>
      </c>
      <c r="K709" s="62">
        <f t="shared" si="139"/>
        <v>0</v>
      </c>
      <c r="L709" s="49">
        <f t="shared" si="125"/>
        <v>6367.5</v>
      </c>
      <c r="M709" s="62">
        <f t="shared" si="139"/>
        <v>0</v>
      </c>
      <c r="N709" s="49">
        <f t="shared" si="127"/>
        <v>6367.5</v>
      </c>
    </row>
    <row r="710" spans="1:14" x14ac:dyDescent="0.2">
      <c r="A710" s="50" t="str">
        <f ca="1">IF(ISERROR(MATCH(C710,Код_Раздел,0)),"",INDIRECT(ADDRESS(MATCH(C710,Код_Раздел,0)+1,2,,,"Раздел")))</f>
        <v>Социальная политика</v>
      </c>
      <c r="B710" s="79" t="s">
        <v>473</v>
      </c>
      <c r="C710" s="65" t="s">
        <v>53</v>
      </c>
      <c r="D710" s="46"/>
      <c r="E710" s="26"/>
      <c r="F710" s="62">
        <f t="shared" si="139"/>
        <v>10188</v>
      </c>
      <c r="G710" s="62">
        <f t="shared" si="139"/>
        <v>0</v>
      </c>
      <c r="H710" s="49">
        <f t="shared" si="133"/>
        <v>10188</v>
      </c>
      <c r="I710" s="62">
        <f t="shared" si="139"/>
        <v>-3820.5</v>
      </c>
      <c r="J710" s="49">
        <f t="shared" si="129"/>
        <v>6367.5</v>
      </c>
      <c r="K710" s="62">
        <f t="shared" si="139"/>
        <v>0</v>
      </c>
      <c r="L710" s="49">
        <f t="shared" si="125"/>
        <v>6367.5</v>
      </c>
      <c r="M710" s="62">
        <f t="shared" si="139"/>
        <v>0</v>
      </c>
      <c r="N710" s="49">
        <f t="shared" si="127"/>
        <v>6367.5</v>
      </c>
    </row>
    <row r="711" spans="1:14" x14ac:dyDescent="0.2">
      <c r="A711" s="50" t="s">
        <v>44</v>
      </c>
      <c r="B711" s="79" t="s">
        <v>473</v>
      </c>
      <c r="C711" s="65" t="s">
        <v>53</v>
      </c>
      <c r="D711" s="46" t="s">
        <v>72</v>
      </c>
      <c r="E711" s="26"/>
      <c r="F711" s="62">
        <f t="shared" si="139"/>
        <v>10188</v>
      </c>
      <c r="G711" s="62">
        <f t="shared" si="139"/>
        <v>0</v>
      </c>
      <c r="H711" s="49">
        <f t="shared" si="133"/>
        <v>10188</v>
      </c>
      <c r="I711" s="62">
        <f t="shared" si="139"/>
        <v>-3820.5</v>
      </c>
      <c r="J711" s="49">
        <f t="shared" si="129"/>
        <v>6367.5</v>
      </c>
      <c r="K711" s="62">
        <f t="shared" si="139"/>
        <v>0</v>
      </c>
      <c r="L711" s="49">
        <f t="shared" si="125"/>
        <v>6367.5</v>
      </c>
      <c r="M711" s="62">
        <f t="shared" si="139"/>
        <v>0</v>
      </c>
      <c r="N711" s="49">
        <f t="shared" si="127"/>
        <v>6367.5</v>
      </c>
    </row>
    <row r="712" spans="1:14" x14ac:dyDescent="0.2">
      <c r="A712" s="50" t="str">
        <f ca="1">IF(ISERROR(MATCH(E712,Код_КВР,0)),"",INDIRECT(ADDRESS(MATCH(E712,Код_КВР,0)+1,2,,,"КВР")))</f>
        <v>Социальное обеспечение и иные выплаты населению</v>
      </c>
      <c r="B712" s="79" t="s">
        <v>473</v>
      </c>
      <c r="C712" s="65" t="s">
        <v>53</v>
      </c>
      <c r="D712" s="46" t="s">
        <v>72</v>
      </c>
      <c r="E712" s="26">
        <v>300</v>
      </c>
      <c r="F712" s="62">
        <f t="shared" si="139"/>
        <v>10188</v>
      </c>
      <c r="G712" s="62">
        <f t="shared" si="139"/>
        <v>0</v>
      </c>
      <c r="H712" s="49">
        <f t="shared" si="133"/>
        <v>10188</v>
      </c>
      <c r="I712" s="62">
        <f t="shared" si="139"/>
        <v>-3820.5</v>
      </c>
      <c r="J712" s="49">
        <f t="shared" si="129"/>
        <v>6367.5</v>
      </c>
      <c r="K712" s="62">
        <f t="shared" si="139"/>
        <v>0</v>
      </c>
      <c r="L712" s="49">
        <f t="shared" si="125"/>
        <v>6367.5</v>
      </c>
      <c r="M712" s="62">
        <f t="shared" si="139"/>
        <v>0</v>
      </c>
      <c r="N712" s="49">
        <f t="shared" si="127"/>
        <v>6367.5</v>
      </c>
    </row>
    <row r="713" spans="1:14" ht="33" x14ac:dyDescent="0.2">
      <c r="A713" s="50" t="str">
        <f ca="1">IF(ISERROR(MATCH(E713,Код_КВР,0)),"",INDIRECT(ADDRESS(MATCH(E713,Код_КВР,0)+1,2,,,"КВР")))</f>
        <v>Социальные выплаты гражданам, кроме публичных нормативных социальных выплат</v>
      </c>
      <c r="B713" s="79" t="s">
        <v>473</v>
      </c>
      <c r="C713" s="65" t="s">
        <v>53</v>
      </c>
      <c r="D713" s="46" t="s">
        <v>72</v>
      </c>
      <c r="E713" s="26">
        <v>320</v>
      </c>
      <c r="F713" s="62">
        <f>'прил. 8'!G400</f>
        <v>10188</v>
      </c>
      <c r="G713" s="62">
        <f>'прил. 8'!H400</f>
        <v>0</v>
      </c>
      <c r="H713" s="49">
        <f t="shared" si="133"/>
        <v>10188</v>
      </c>
      <c r="I713" s="62">
        <f>'прил. 8'!J400</f>
        <v>-3820.5</v>
      </c>
      <c r="J713" s="49">
        <f t="shared" si="129"/>
        <v>6367.5</v>
      </c>
      <c r="K713" s="62">
        <f>'прил. 8'!L400</f>
        <v>0</v>
      </c>
      <c r="L713" s="49">
        <f t="shared" si="125"/>
        <v>6367.5</v>
      </c>
      <c r="M713" s="62">
        <f>'прил. 8'!N400</f>
        <v>0</v>
      </c>
      <c r="N713" s="49">
        <f t="shared" si="127"/>
        <v>6367.5</v>
      </c>
    </row>
    <row r="714" spans="1:14" ht="78" customHeight="1" x14ac:dyDescent="0.2">
      <c r="A714" s="50" t="str">
        <f ca="1">IF(ISERROR(MATCH(B714,Код_КЦСР,0)),"",INDIRECT(ADDRESS(MATCH(B714,Код_КЦСР,0)+1,2,,,"КЦСР")))</f>
        <v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Федерации», за счет средств федерального бюджета</v>
      </c>
      <c r="B714" s="79" t="s">
        <v>661</v>
      </c>
      <c r="C714" s="65"/>
      <c r="D714" s="46"/>
      <c r="E714" s="26"/>
      <c r="F714" s="62"/>
      <c r="G714" s="62"/>
      <c r="H714" s="49"/>
      <c r="I714" s="62">
        <f>I715</f>
        <v>1910.3</v>
      </c>
      <c r="J714" s="49">
        <f t="shared" si="129"/>
        <v>1910.3</v>
      </c>
      <c r="K714" s="62">
        <f>K715</f>
        <v>0</v>
      </c>
      <c r="L714" s="49">
        <f t="shared" ref="L714:L787" si="140">J714+K714</f>
        <v>1910.3</v>
      </c>
      <c r="M714" s="62">
        <f>M715</f>
        <v>0</v>
      </c>
      <c r="N714" s="49">
        <f t="shared" si="127"/>
        <v>1910.3</v>
      </c>
    </row>
    <row r="715" spans="1:14" x14ac:dyDescent="0.2">
      <c r="A715" s="50" t="str">
        <f ca="1">IF(ISERROR(MATCH(C715,Код_Раздел,0)),"",INDIRECT(ADDRESS(MATCH(C715,Код_Раздел,0)+1,2,,,"Раздел")))</f>
        <v>Социальная политика</v>
      </c>
      <c r="B715" s="79" t="s">
        <v>661</v>
      </c>
      <c r="C715" s="65" t="s">
        <v>53</v>
      </c>
      <c r="D715" s="46"/>
      <c r="E715" s="26"/>
      <c r="F715" s="62"/>
      <c r="G715" s="62"/>
      <c r="H715" s="49"/>
      <c r="I715" s="62">
        <f>I716</f>
        <v>1910.3</v>
      </c>
      <c r="J715" s="49">
        <f t="shared" si="129"/>
        <v>1910.3</v>
      </c>
      <c r="K715" s="62">
        <f>K716</f>
        <v>0</v>
      </c>
      <c r="L715" s="49">
        <f t="shared" si="140"/>
        <v>1910.3</v>
      </c>
      <c r="M715" s="62">
        <f>M716</f>
        <v>0</v>
      </c>
      <c r="N715" s="49">
        <f t="shared" si="127"/>
        <v>1910.3</v>
      </c>
    </row>
    <row r="716" spans="1:14" x14ac:dyDescent="0.2">
      <c r="A716" s="50" t="s">
        <v>44</v>
      </c>
      <c r="B716" s="79" t="s">
        <v>661</v>
      </c>
      <c r="C716" s="65" t="s">
        <v>53</v>
      </c>
      <c r="D716" s="46" t="s">
        <v>72</v>
      </c>
      <c r="E716" s="26"/>
      <c r="F716" s="62"/>
      <c r="G716" s="62"/>
      <c r="H716" s="49"/>
      <c r="I716" s="62">
        <f>I717</f>
        <v>1910.3</v>
      </c>
      <c r="J716" s="49">
        <f t="shared" si="129"/>
        <v>1910.3</v>
      </c>
      <c r="K716" s="62">
        <f>K717</f>
        <v>0</v>
      </c>
      <c r="L716" s="49">
        <f t="shared" si="140"/>
        <v>1910.3</v>
      </c>
      <c r="M716" s="62">
        <f>M717</f>
        <v>0</v>
      </c>
      <c r="N716" s="49">
        <f t="shared" si="127"/>
        <v>1910.3</v>
      </c>
    </row>
    <row r="717" spans="1:14" x14ac:dyDescent="0.2">
      <c r="A717" s="50" t="str">
        <f ca="1">IF(ISERROR(MATCH(E717,Код_КВР,0)),"",INDIRECT(ADDRESS(MATCH(E717,Код_КВР,0)+1,2,,,"КВР")))</f>
        <v>Социальное обеспечение и иные выплаты населению</v>
      </c>
      <c r="B717" s="79" t="s">
        <v>661</v>
      </c>
      <c r="C717" s="65" t="s">
        <v>53</v>
      </c>
      <c r="D717" s="46" t="s">
        <v>72</v>
      </c>
      <c r="E717" s="26">
        <v>300</v>
      </c>
      <c r="F717" s="62"/>
      <c r="G717" s="62"/>
      <c r="H717" s="49"/>
      <c r="I717" s="62">
        <f>I718</f>
        <v>1910.3</v>
      </c>
      <c r="J717" s="49">
        <f t="shared" si="129"/>
        <v>1910.3</v>
      </c>
      <c r="K717" s="62">
        <f>K718</f>
        <v>0</v>
      </c>
      <c r="L717" s="49">
        <f t="shared" si="140"/>
        <v>1910.3</v>
      </c>
      <c r="M717" s="62">
        <f>M718</f>
        <v>0</v>
      </c>
      <c r="N717" s="49">
        <f t="shared" si="127"/>
        <v>1910.3</v>
      </c>
    </row>
    <row r="718" spans="1:14" ht="33" x14ac:dyDescent="0.2">
      <c r="A718" s="50" t="str">
        <f ca="1">IF(ISERROR(MATCH(E718,Код_КВР,0)),"",INDIRECT(ADDRESS(MATCH(E718,Код_КВР,0)+1,2,,,"КВР")))</f>
        <v>Социальные выплаты гражданам, кроме публичных нормативных социальных выплат</v>
      </c>
      <c r="B718" s="79" t="s">
        <v>661</v>
      </c>
      <c r="C718" s="65" t="s">
        <v>53</v>
      </c>
      <c r="D718" s="46" t="s">
        <v>72</v>
      </c>
      <c r="E718" s="26">
        <v>320</v>
      </c>
      <c r="F718" s="62"/>
      <c r="G718" s="62"/>
      <c r="H718" s="49"/>
      <c r="I718" s="62">
        <f>'прил. 8'!J403</f>
        <v>1910.3</v>
      </c>
      <c r="J718" s="49">
        <f t="shared" si="129"/>
        <v>1910.3</v>
      </c>
      <c r="K718" s="62">
        <f>'прил. 8'!L403</f>
        <v>0</v>
      </c>
      <c r="L718" s="49">
        <f t="shared" si="140"/>
        <v>1910.3</v>
      </c>
      <c r="M718" s="62">
        <f>'прил. 8'!N403</f>
        <v>0</v>
      </c>
      <c r="N718" s="49">
        <f t="shared" si="127"/>
        <v>1910.3</v>
      </c>
    </row>
    <row r="719" spans="1:14" x14ac:dyDescent="0.2">
      <c r="A719" s="50" t="str">
        <f ca="1">IF(ISERROR(MATCH(B719,Код_КЦСР,0)),"",INDIRECT(ADDRESS(MATCH(B719,Код_КЦСР,0)+1,2,,,"КЦСР")))</f>
        <v>Обеспечение жильем молодых семей</v>
      </c>
      <c r="B719" s="79" t="s">
        <v>329</v>
      </c>
      <c r="C719" s="65"/>
      <c r="D719" s="46"/>
      <c r="E719" s="26"/>
      <c r="F719" s="62">
        <f>F720</f>
        <v>2101.3000000000002</v>
      </c>
      <c r="G719" s="62">
        <f>G720</f>
        <v>0</v>
      </c>
      <c r="H719" s="49">
        <f t="shared" si="133"/>
        <v>2101.3000000000002</v>
      </c>
      <c r="I719" s="62">
        <f>I720</f>
        <v>0</v>
      </c>
      <c r="J719" s="49">
        <f t="shared" si="129"/>
        <v>2101.3000000000002</v>
      </c>
      <c r="K719" s="62">
        <f>K720</f>
        <v>0</v>
      </c>
      <c r="L719" s="49">
        <f t="shared" si="140"/>
        <v>2101.3000000000002</v>
      </c>
      <c r="M719" s="62">
        <f>M720</f>
        <v>4938.6000000000004</v>
      </c>
      <c r="N719" s="49">
        <f t="shared" si="127"/>
        <v>7039.9000000000005</v>
      </c>
    </row>
    <row r="720" spans="1:14" ht="33" x14ac:dyDescent="0.2">
      <c r="A720" s="50" t="str">
        <f ca="1">IF(ISERROR(MATCH(B720,Код_КЦСР,0)),"",INDIRECT(ADDRESS(MATCH(B720,Код_КЦСР,0)+1,2,,,"КЦСР")))</f>
        <v>Предоставление социальных выплат на приобретение (строительство) жилья молодыми семьями</v>
      </c>
      <c r="B720" s="79" t="s">
        <v>330</v>
      </c>
      <c r="C720" s="65"/>
      <c r="D720" s="46"/>
      <c r="E720" s="26"/>
      <c r="F720" s="62">
        <f>F721+F726</f>
        <v>2101.3000000000002</v>
      </c>
      <c r="G720" s="62">
        <f>G721+G726</f>
        <v>0</v>
      </c>
      <c r="H720" s="49">
        <f t="shared" si="133"/>
        <v>2101.3000000000002</v>
      </c>
      <c r="I720" s="62">
        <f>I721+I726</f>
        <v>0</v>
      </c>
      <c r="J720" s="49">
        <f t="shared" si="129"/>
        <v>2101.3000000000002</v>
      </c>
      <c r="K720" s="62">
        <f>K721+K726</f>
        <v>0</v>
      </c>
      <c r="L720" s="49">
        <f t="shared" si="140"/>
        <v>2101.3000000000002</v>
      </c>
      <c r="M720" s="62">
        <f>M721+M731+M736</f>
        <v>4938.6000000000004</v>
      </c>
      <c r="N720" s="49">
        <f t="shared" si="127"/>
        <v>7039.9000000000005</v>
      </c>
    </row>
    <row r="721" spans="1:14" ht="33" x14ac:dyDescent="0.2">
      <c r="A721" s="50" t="str">
        <f ca="1">IF(ISERROR(MATCH(B721,Код_КЦСР,0)),"",INDIRECT(ADDRESS(MATCH(B721,Код_КЦСР,0)+1,2,,,"КЦСР")))</f>
        <v xml:space="preserve">Социальные выплаты на приобретение (строительство) жилья молодым семьям, в рамках софинансирования </v>
      </c>
      <c r="B721" s="79" t="s">
        <v>331</v>
      </c>
      <c r="C721" s="65"/>
      <c r="D721" s="46"/>
      <c r="E721" s="26"/>
      <c r="F721" s="62">
        <f t="shared" ref="F721:M721" si="141">F722</f>
        <v>2101.3000000000002</v>
      </c>
      <c r="G721" s="62">
        <f t="shared" si="141"/>
        <v>0</v>
      </c>
      <c r="H721" s="49">
        <f t="shared" si="133"/>
        <v>2101.3000000000002</v>
      </c>
      <c r="I721" s="62">
        <f t="shared" si="141"/>
        <v>0</v>
      </c>
      <c r="J721" s="49">
        <f t="shared" si="129"/>
        <v>2101.3000000000002</v>
      </c>
      <c r="K721" s="62">
        <f t="shared" si="141"/>
        <v>0</v>
      </c>
      <c r="L721" s="49">
        <f t="shared" si="140"/>
        <v>2101.3000000000002</v>
      </c>
      <c r="M721" s="62">
        <f t="shared" si="141"/>
        <v>-2101.3000000000002</v>
      </c>
      <c r="N721" s="49">
        <f t="shared" si="127"/>
        <v>0</v>
      </c>
    </row>
    <row r="722" spans="1:14" x14ac:dyDescent="0.2">
      <c r="A722" s="50" t="str">
        <f ca="1">IF(ISERROR(MATCH(C722,Код_Раздел,0)),"",INDIRECT(ADDRESS(MATCH(C722,Код_Раздел,0)+1,2,,,"Раздел")))</f>
        <v>Социальная политика</v>
      </c>
      <c r="B722" s="79" t="s">
        <v>331</v>
      </c>
      <c r="C722" s="65" t="s">
        <v>53</v>
      </c>
      <c r="D722" s="46"/>
      <c r="E722" s="26"/>
      <c r="F722" s="62">
        <f t="shared" ref="F722:M724" si="142">F723</f>
        <v>2101.3000000000002</v>
      </c>
      <c r="G722" s="62">
        <f t="shared" si="142"/>
        <v>0</v>
      </c>
      <c r="H722" s="49">
        <f t="shared" si="133"/>
        <v>2101.3000000000002</v>
      </c>
      <c r="I722" s="62">
        <f t="shared" si="142"/>
        <v>0</v>
      </c>
      <c r="J722" s="49">
        <f t="shared" si="129"/>
        <v>2101.3000000000002</v>
      </c>
      <c r="K722" s="62">
        <f t="shared" si="142"/>
        <v>0</v>
      </c>
      <c r="L722" s="49">
        <f t="shared" si="140"/>
        <v>2101.3000000000002</v>
      </c>
      <c r="M722" s="62">
        <f t="shared" si="142"/>
        <v>-2101.3000000000002</v>
      </c>
      <c r="N722" s="49">
        <f t="shared" ref="N722:N785" si="143">L722+M722</f>
        <v>0</v>
      </c>
    </row>
    <row r="723" spans="1:14" x14ac:dyDescent="0.2">
      <c r="A723" s="45" t="s">
        <v>44</v>
      </c>
      <c r="B723" s="79" t="s">
        <v>331</v>
      </c>
      <c r="C723" s="65" t="s">
        <v>53</v>
      </c>
      <c r="D723" s="65" t="s">
        <v>72</v>
      </c>
      <c r="E723" s="26"/>
      <c r="F723" s="62">
        <f t="shared" si="142"/>
        <v>2101.3000000000002</v>
      </c>
      <c r="G723" s="62">
        <f t="shared" si="142"/>
        <v>0</v>
      </c>
      <c r="H723" s="49">
        <f t="shared" si="133"/>
        <v>2101.3000000000002</v>
      </c>
      <c r="I723" s="62">
        <f t="shared" si="142"/>
        <v>0</v>
      </c>
      <c r="J723" s="49">
        <f t="shared" si="129"/>
        <v>2101.3000000000002</v>
      </c>
      <c r="K723" s="62">
        <f t="shared" si="142"/>
        <v>0</v>
      </c>
      <c r="L723" s="49">
        <f t="shared" si="140"/>
        <v>2101.3000000000002</v>
      </c>
      <c r="M723" s="62">
        <f t="shared" si="142"/>
        <v>-2101.3000000000002</v>
      </c>
      <c r="N723" s="49">
        <f t="shared" si="143"/>
        <v>0</v>
      </c>
    </row>
    <row r="724" spans="1:14" x14ac:dyDescent="0.2">
      <c r="A724" s="50" t="str">
        <f ca="1">IF(ISERROR(MATCH(E724,Код_КВР,0)),"",INDIRECT(ADDRESS(MATCH(E724,Код_КВР,0)+1,2,,,"КВР")))</f>
        <v>Социальное обеспечение и иные выплаты населению</v>
      </c>
      <c r="B724" s="79" t="s">
        <v>331</v>
      </c>
      <c r="C724" s="65" t="s">
        <v>53</v>
      </c>
      <c r="D724" s="65" t="s">
        <v>72</v>
      </c>
      <c r="E724" s="26">
        <v>300</v>
      </c>
      <c r="F724" s="62">
        <f t="shared" si="142"/>
        <v>2101.3000000000002</v>
      </c>
      <c r="G724" s="62">
        <f t="shared" si="142"/>
        <v>0</v>
      </c>
      <c r="H724" s="49">
        <f t="shared" si="133"/>
        <v>2101.3000000000002</v>
      </c>
      <c r="I724" s="62">
        <f t="shared" si="142"/>
        <v>0</v>
      </c>
      <c r="J724" s="49">
        <f t="shared" si="129"/>
        <v>2101.3000000000002</v>
      </c>
      <c r="K724" s="62">
        <f t="shared" si="142"/>
        <v>0</v>
      </c>
      <c r="L724" s="49">
        <f t="shared" si="140"/>
        <v>2101.3000000000002</v>
      </c>
      <c r="M724" s="62">
        <f t="shared" si="142"/>
        <v>-2101.3000000000002</v>
      </c>
      <c r="N724" s="49">
        <f t="shared" si="143"/>
        <v>0</v>
      </c>
    </row>
    <row r="725" spans="1:14" ht="33" x14ac:dyDescent="0.2">
      <c r="A725" s="50" t="str">
        <f ca="1">IF(ISERROR(MATCH(E725,Код_КВР,0)),"",INDIRECT(ADDRESS(MATCH(E725,Код_КВР,0)+1,2,,,"КВР")))</f>
        <v>Социальные выплаты гражданам, кроме публичных нормативных социальных выплат</v>
      </c>
      <c r="B725" s="79" t="s">
        <v>331</v>
      </c>
      <c r="C725" s="65" t="s">
        <v>53</v>
      </c>
      <c r="D725" s="65" t="s">
        <v>72</v>
      </c>
      <c r="E725" s="26">
        <v>320</v>
      </c>
      <c r="F725" s="62">
        <f>'прил. 8'!G408</f>
        <v>2101.3000000000002</v>
      </c>
      <c r="G725" s="62">
        <f>'прил. 8'!H408</f>
        <v>0</v>
      </c>
      <c r="H725" s="49">
        <f t="shared" si="133"/>
        <v>2101.3000000000002</v>
      </c>
      <c r="I725" s="62">
        <f>'прил. 8'!J408</f>
        <v>0</v>
      </c>
      <c r="J725" s="49">
        <f t="shared" ref="J725:J798" si="144">H725+I725</f>
        <v>2101.3000000000002</v>
      </c>
      <c r="K725" s="62">
        <f>'прил. 8'!L408</f>
        <v>0</v>
      </c>
      <c r="L725" s="49">
        <f t="shared" si="140"/>
        <v>2101.3000000000002</v>
      </c>
      <c r="M725" s="62">
        <f>'прил. 8'!N408</f>
        <v>-2101.3000000000002</v>
      </c>
      <c r="N725" s="49">
        <f t="shared" si="143"/>
        <v>0</v>
      </c>
    </row>
    <row r="726" spans="1:14" ht="115.5" hidden="1" x14ac:dyDescent="0.2">
      <c r="A726" s="50" t="str">
        <f ca="1">IF(ISERROR(MATCH(B726,Код_КЦСР,0)),"",INDIRECT(ADDRESS(MATCH(B726,Код_КЦСР,0)+1,2,,,"КЦСР")))</f>
        <v>Предоставление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годы», за счет средств вышестоящих бюджетов</v>
      </c>
      <c r="B726" s="79" t="s">
        <v>531</v>
      </c>
      <c r="C726" s="65"/>
      <c r="D726" s="46"/>
      <c r="E726" s="26"/>
      <c r="F726" s="62">
        <f t="shared" ref="F726:M729" si="145">F727</f>
        <v>0</v>
      </c>
      <c r="G726" s="62">
        <f t="shared" si="145"/>
        <v>0</v>
      </c>
      <c r="H726" s="49">
        <f t="shared" si="133"/>
        <v>0</v>
      </c>
      <c r="I726" s="62">
        <f t="shared" si="145"/>
        <v>0</v>
      </c>
      <c r="J726" s="49">
        <f t="shared" si="144"/>
        <v>0</v>
      </c>
      <c r="K726" s="62">
        <f t="shared" si="145"/>
        <v>0</v>
      </c>
      <c r="L726" s="49">
        <f t="shared" si="140"/>
        <v>0</v>
      </c>
      <c r="M726" s="62">
        <f t="shared" si="145"/>
        <v>0</v>
      </c>
      <c r="N726" s="49">
        <f t="shared" si="143"/>
        <v>0</v>
      </c>
    </row>
    <row r="727" spans="1:14" hidden="1" x14ac:dyDescent="0.2">
      <c r="A727" s="50" t="str">
        <f ca="1">IF(ISERROR(MATCH(C727,Код_Раздел,0)),"",INDIRECT(ADDRESS(MATCH(C727,Код_Раздел,0)+1,2,,,"Раздел")))</f>
        <v>Социальная политика</v>
      </c>
      <c r="B727" s="79" t="s">
        <v>531</v>
      </c>
      <c r="C727" s="65" t="s">
        <v>53</v>
      </c>
      <c r="D727" s="46"/>
      <c r="E727" s="26"/>
      <c r="F727" s="62">
        <f t="shared" si="145"/>
        <v>0</v>
      </c>
      <c r="G727" s="62">
        <f t="shared" si="145"/>
        <v>0</v>
      </c>
      <c r="H727" s="49">
        <f t="shared" si="133"/>
        <v>0</v>
      </c>
      <c r="I727" s="62">
        <f t="shared" si="145"/>
        <v>0</v>
      </c>
      <c r="J727" s="49">
        <f t="shared" si="144"/>
        <v>0</v>
      </c>
      <c r="K727" s="62">
        <f t="shared" si="145"/>
        <v>0</v>
      </c>
      <c r="L727" s="49">
        <f t="shared" si="140"/>
        <v>0</v>
      </c>
      <c r="M727" s="62">
        <f t="shared" si="145"/>
        <v>0</v>
      </c>
      <c r="N727" s="49">
        <f t="shared" si="143"/>
        <v>0</v>
      </c>
    </row>
    <row r="728" spans="1:14" hidden="1" x14ac:dyDescent="0.2">
      <c r="A728" s="45" t="s">
        <v>44</v>
      </c>
      <c r="B728" s="79" t="s">
        <v>531</v>
      </c>
      <c r="C728" s="65" t="s">
        <v>53</v>
      </c>
      <c r="D728" s="65" t="s">
        <v>72</v>
      </c>
      <c r="E728" s="26"/>
      <c r="F728" s="62">
        <f t="shared" si="145"/>
        <v>0</v>
      </c>
      <c r="G728" s="62">
        <f t="shared" si="145"/>
        <v>0</v>
      </c>
      <c r="H728" s="49">
        <f t="shared" si="133"/>
        <v>0</v>
      </c>
      <c r="I728" s="62">
        <f t="shared" si="145"/>
        <v>0</v>
      </c>
      <c r="J728" s="49">
        <f t="shared" si="144"/>
        <v>0</v>
      </c>
      <c r="K728" s="62">
        <f t="shared" si="145"/>
        <v>0</v>
      </c>
      <c r="L728" s="49">
        <f t="shared" si="140"/>
        <v>0</v>
      </c>
      <c r="M728" s="62">
        <f t="shared" si="145"/>
        <v>0</v>
      </c>
      <c r="N728" s="49">
        <f t="shared" si="143"/>
        <v>0</v>
      </c>
    </row>
    <row r="729" spans="1:14" hidden="1" x14ac:dyDescent="0.2">
      <c r="A729" s="50" t="str">
        <f ca="1">IF(ISERROR(MATCH(E729,Код_КВР,0)),"",INDIRECT(ADDRESS(MATCH(E729,Код_КВР,0)+1,2,,,"КВР")))</f>
        <v>Социальное обеспечение и иные выплаты населению</v>
      </c>
      <c r="B729" s="79" t="s">
        <v>531</v>
      </c>
      <c r="C729" s="65" t="s">
        <v>53</v>
      </c>
      <c r="D729" s="65" t="s">
        <v>72</v>
      </c>
      <c r="E729" s="26">
        <v>300</v>
      </c>
      <c r="F729" s="62">
        <f t="shared" si="145"/>
        <v>0</v>
      </c>
      <c r="G729" s="62">
        <f t="shared" si="145"/>
        <v>0</v>
      </c>
      <c r="H729" s="49">
        <f t="shared" si="133"/>
        <v>0</v>
      </c>
      <c r="I729" s="62">
        <f t="shared" si="145"/>
        <v>0</v>
      </c>
      <c r="J729" s="49">
        <f t="shared" si="144"/>
        <v>0</v>
      </c>
      <c r="K729" s="62">
        <f t="shared" si="145"/>
        <v>0</v>
      </c>
      <c r="L729" s="49">
        <f t="shared" si="140"/>
        <v>0</v>
      </c>
      <c r="M729" s="62">
        <f t="shared" si="145"/>
        <v>0</v>
      </c>
      <c r="N729" s="49">
        <f t="shared" si="143"/>
        <v>0</v>
      </c>
    </row>
    <row r="730" spans="1:14" ht="33" hidden="1" x14ac:dyDescent="0.2">
      <c r="A730" s="50" t="str">
        <f ca="1">IF(ISERROR(MATCH(E730,Код_КВР,0)),"",INDIRECT(ADDRESS(MATCH(E730,Код_КВР,0)+1,2,,,"КВР")))</f>
        <v>Социальные выплаты гражданам, кроме публичных нормативных социальных выплат</v>
      </c>
      <c r="B730" s="79" t="s">
        <v>531</v>
      </c>
      <c r="C730" s="65" t="s">
        <v>53</v>
      </c>
      <c r="D730" s="65" t="s">
        <v>72</v>
      </c>
      <c r="E730" s="26">
        <v>320</v>
      </c>
      <c r="F730" s="62">
        <f>'прил. 8'!G414</f>
        <v>0</v>
      </c>
      <c r="G730" s="62">
        <f>'прил. 8'!H414</f>
        <v>0</v>
      </c>
      <c r="H730" s="49">
        <f t="shared" si="133"/>
        <v>0</v>
      </c>
      <c r="I730" s="62">
        <f>'прил. 8'!J414</f>
        <v>0</v>
      </c>
      <c r="J730" s="49">
        <f t="shared" si="144"/>
        <v>0</v>
      </c>
      <c r="K730" s="62">
        <f>'прил. 8'!L414</f>
        <v>0</v>
      </c>
      <c r="L730" s="49">
        <f t="shared" si="140"/>
        <v>0</v>
      </c>
      <c r="M730" s="62">
        <f>'прил. 8'!N414</f>
        <v>0</v>
      </c>
      <c r="N730" s="49">
        <f t="shared" si="143"/>
        <v>0</v>
      </c>
    </row>
    <row r="731" spans="1:14" ht="33" x14ac:dyDescent="0.2">
      <c r="A731" s="50" t="str">
        <f ca="1">IF(ISERROR(MATCH(B731,Код_КЦСР,0)),"",INDIRECT(ADDRESS(MATCH(B731,Код_КЦСР,0)+1,2,,,"КЦСР")))</f>
        <v>Социальные выплаты на приобретение (строительство) жилья молодым семьям, в рамках софинансирования</v>
      </c>
      <c r="B731" s="79" t="s">
        <v>724</v>
      </c>
      <c r="C731" s="65"/>
      <c r="D731" s="46"/>
      <c r="E731" s="26"/>
      <c r="F731" s="62"/>
      <c r="G731" s="62"/>
      <c r="H731" s="49"/>
      <c r="I731" s="62"/>
      <c r="J731" s="49"/>
      <c r="K731" s="62"/>
      <c r="L731" s="49"/>
      <c r="M731" s="62">
        <f>M732</f>
        <v>2101.3000000000002</v>
      </c>
      <c r="N731" s="49">
        <f t="shared" si="143"/>
        <v>2101.3000000000002</v>
      </c>
    </row>
    <row r="732" spans="1:14" x14ac:dyDescent="0.2">
      <c r="A732" s="50" t="str">
        <f ca="1">IF(ISERROR(MATCH(C732,Код_Раздел,0)),"",INDIRECT(ADDRESS(MATCH(C732,Код_Раздел,0)+1,2,,,"Раздел")))</f>
        <v>Социальная политика</v>
      </c>
      <c r="B732" s="79" t="s">
        <v>724</v>
      </c>
      <c r="C732" s="65" t="s">
        <v>53</v>
      </c>
      <c r="D732" s="46"/>
      <c r="E732" s="26"/>
      <c r="F732" s="62"/>
      <c r="G732" s="62"/>
      <c r="H732" s="49"/>
      <c r="I732" s="62"/>
      <c r="J732" s="49"/>
      <c r="K732" s="62"/>
      <c r="L732" s="49"/>
      <c r="M732" s="62">
        <f>M733</f>
        <v>2101.3000000000002</v>
      </c>
      <c r="N732" s="49">
        <f t="shared" si="143"/>
        <v>2101.3000000000002</v>
      </c>
    </row>
    <row r="733" spans="1:14" x14ac:dyDescent="0.2">
      <c r="A733" s="45" t="s">
        <v>44</v>
      </c>
      <c r="B733" s="79" t="s">
        <v>724</v>
      </c>
      <c r="C733" s="65" t="s">
        <v>53</v>
      </c>
      <c r="D733" s="65" t="s">
        <v>72</v>
      </c>
      <c r="E733" s="26"/>
      <c r="F733" s="62"/>
      <c r="G733" s="62"/>
      <c r="H733" s="49"/>
      <c r="I733" s="62"/>
      <c r="J733" s="49"/>
      <c r="K733" s="62"/>
      <c r="L733" s="49"/>
      <c r="M733" s="62">
        <f>M734</f>
        <v>2101.3000000000002</v>
      </c>
      <c r="N733" s="49">
        <f t="shared" si="143"/>
        <v>2101.3000000000002</v>
      </c>
    </row>
    <row r="734" spans="1:14" x14ac:dyDescent="0.2">
      <c r="A734" s="50" t="str">
        <f ca="1">IF(ISERROR(MATCH(E734,Код_КВР,0)),"",INDIRECT(ADDRESS(MATCH(E734,Код_КВР,0)+1,2,,,"КВР")))</f>
        <v>Социальное обеспечение и иные выплаты населению</v>
      </c>
      <c r="B734" s="79" t="s">
        <v>724</v>
      </c>
      <c r="C734" s="65" t="s">
        <v>53</v>
      </c>
      <c r="D734" s="65" t="s">
        <v>72</v>
      </c>
      <c r="E734" s="26">
        <v>300</v>
      </c>
      <c r="F734" s="62"/>
      <c r="G734" s="62"/>
      <c r="H734" s="49"/>
      <c r="I734" s="62"/>
      <c r="J734" s="49"/>
      <c r="K734" s="62"/>
      <c r="L734" s="49"/>
      <c r="M734" s="62">
        <f>M735</f>
        <v>2101.3000000000002</v>
      </c>
      <c r="N734" s="49">
        <f t="shared" si="143"/>
        <v>2101.3000000000002</v>
      </c>
    </row>
    <row r="735" spans="1:14" ht="33" x14ac:dyDescent="0.2">
      <c r="A735" s="50" t="str">
        <f ca="1">IF(ISERROR(MATCH(E735,Код_КВР,0)),"",INDIRECT(ADDRESS(MATCH(E735,Код_КВР,0)+1,2,,,"КВР")))</f>
        <v>Социальные выплаты гражданам, кроме публичных нормативных социальных выплат</v>
      </c>
      <c r="B735" s="79" t="s">
        <v>724</v>
      </c>
      <c r="C735" s="65" t="s">
        <v>53</v>
      </c>
      <c r="D735" s="65" t="s">
        <v>72</v>
      </c>
      <c r="E735" s="26">
        <v>320</v>
      </c>
      <c r="F735" s="62"/>
      <c r="G735" s="62"/>
      <c r="H735" s="49"/>
      <c r="I735" s="62"/>
      <c r="J735" s="49"/>
      <c r="K735" s="62"/>
      <c r="L735" s="49"/>
      <c r="M735" s="62">
        <f>'прил. 8'!N411</f>
        <v>2101.3000000000002</v>
      </c>
      <c r="N735" s="49">
        <f t="shared" si="143"/>
        <v>2101.3000000000002</v>
      </c>
    </row>
    <row r="736" spans="1:14" ht="82.5" x14ac:dyDescent="0.2">
      <c r="A736" s="50" t="str">
        <f ca="1">IF(ISERROR(MATCH(B736,Код_КЦСР,0)),"",INDIRECT(ADDRESS(MATCH(B736,Код_КЦСР,0)+1,2,,,"КЦСР")))</f>
        <v>Предоставление социальных выплат молодым семьям-участникам подпрограммы «Обеспечение жильем молодых семей» государственной программы Российской Федерации "Обеспечение доступным и комфортным жильем и коммунальными услугами граждан Российской Федерации", за счет средств вышестоящих бюджето</v>
      </c>
      <c r="B736" s="79" t="s">
        <v>708</v>
      </c>
      <c r="C736" s="65"/>
      <c r="D736" s="46"/>
      <c r="E736" s="26"/>
      <c r="F736" s="62"/>
      <c r="G736" s="62"/>
      <c r="H736" s="49"/>
      <c r="I736" s="62"/>
      <c r="J736" s="49"/>
      <c r="K736" s="62"/>
      <c r="L736" s="49"/>
      <c r="M736" s="62">
        <f>M737</f>
        <v>4938.6000000000004</v>
      </c>
      <c r="N736" s="49">
        <f t="shared" si="143"/>
        <v>4938.6000000000004</v>
      </c>
    </row>
    <row r="737" spans="1:14" x14ac:dyDescent="0.2">
      <c r="A737" s="50" t="str">
        <f ca="1">IF(ISERROR(MATCH(C737,Код_Раздел,0)),"",INDIRECT(ADDRESS(MATCH(C737,Код_Раздел,0)+1,2,,,"Раздел")))</f>
        <v>Социальная политика</v>
      </c>
      <c r="B737" s="79" t="s">
        <v>708</v>
      </c>
      <c r="C737" s="65" t="s">
        <v>53</v>
      </c>
      <c r="D737" s="46"/>
      <c r="E737" s="26"/>
      <c r="F737" s="62"/>
      <c r="G737" s="62"/>
      <c r="H737" s="49"/>
      <c r="I737" s="62"/>
      <c r="J737" s="49"/>
      <c r="K737" s="62"/>
      <c r="L737" s="49"/>
      <c r="M737" s="62">
        <f>M738</f>
        <v>4938.6000000000004</v>
      </c>
      <c r="N737" s="49">
        <f t="shared" si="143"/>
        <v>4938.6000000000004</v>
      </c>
    </row>
    <row r="738" spans="1:14" x14ac:dyDescent="0.2">
      <c r="A738" s="45" t="s">
        <v>44</v>
      </c>
      <c r="B738" s="79" t="s">
        <v>708</v>
      </c>
      <c r="C738" s="65" t="s">
        <v>53</v>
      </c>
      <c r="D738" s="65" t="s">
        <v>72</v>
      </c>
      <c r="E738" s="26"/>
      <c r="F738" s="62"/>
      <c r="G738" s="62"/>
      <c r="H738" s="49"/>
      <c r="I738" s="62"/>
      <c r="J738" s="49"/>
      <c r="K738" s="62"/>
      <c r="L738" s="49"/>
      <c r="M738" s="62">
        <f>M739</f>
        <v>4938.6000000000004</v>
      </c>
      <c r="N738" s="49">
        <f t="shared" si="143"/>
        <v>4938.6000000000004</v>
      </c>
    </row>
    <row r="739" spans="1:14" x14ac:dyDescent="0.2">
      <c r="A739" s="50" t="str">
        <f ca="1">IF(ISERROR(MATCH(E739,Код_КВР,0)),"",INDIRECT(ADDRESS(MATCH(E739,Код_КВР,0)+1,2,,,"КВР")))</f>
        <v>Социальное обеспечение и иные выплаты населению</v>
      </c>
      <c r="B739" s="79" t="s">
        <v>708</v>
      </c>
      <c r="C739" s="65" t="s">
        <v>53</v>
      </c>
      <c r="D739" s="65" t="s">
        <v>72</v>
      </c>
      <c r="E739" s="26">
        <v>300</v>
      </c>
      <c r="F739" s="62"/>
      <c r="G739" s="62"/>
      <c r="H739" s="49"/>
      <c r="I739" s="62"/>
      <c r="J739" s="49"/>
      <c r="K739" s="62"/>
      <c r="L739" s="49"/>
      <c r="M739" s="62">
        <f>M740</f>
        <v>4938.6000000000004</v>
      </c>
      <c r="N739" s="49">
        <f t="shared" si="143"/>
        <v>4938.6000000000004</v>
      </c>
    </row>
    <row r="740" spans="1:14" ht="33" x14ac:dyDescent="0.2">
      <c r="A740" s="50" t="str">
        <f ca="1">IF(ISERROR(MATCH(E740,Код_КВР,0)),"",INDIRECT(ADDRESS(MATCH(E740,Код_КВР,0)+1,2,,,"КВР")))</f>
        <v>Социальные выплаты гражданам, кроме публичных нормативных социальных выплат</v>
      </c>
      <c r="B740" s="79" t="s">
        <v>708</v>
      </c>
      <c r="C740" s="65" t="s">
        <v>53</v>
      </c>
      <c r="D740" s="65" t="s">
        <v>72</v>
      </c>
      <c r="E740" s="26">
        <v>320</v>
      </c>
      <c r="F740" s="62"/>
      <c r="G740" s="62"/>
      <c r="H740" s="49"/>
      <c r="I740" s="62"/>
      <c r="J740" s="49"/>
      <c r="K740" s="62"/>
      <c r="L740" s="49"/>
      <c r="M740" s="62">
        <f>'прил. 8'!N417</f>
        <v>4938.6000000000004</v>
      </c>
      <c r="N740" s="49">
        <f t="shared" si="143"/>
        <v>4938.6000000000004</v>
      </c>
    </row>
    <row r="741" spans="1:14" ht="33" x14ac:dyDescent="0.2">
      <c r="A741" s="50" t="str">
        <f ca="1">IF(ISERROR(MATCH(B741,Код_КЦСР,0)),"",INDIRECT(ADDRESS(MATCH(B741,Код_КЦСР,0)+1,2,,,"КЦСР")))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741" s="79" t="s">
        <v>332</v>
      </c>
      <c r="C741" s="65"/>
      <c r="D741" s="46"/>
      <c r="E741" s="26"/>
      <c r="F741" s="62">
        <f>F742</f>
        <v>7338.1</v>
      </c>
      <c r="G741" s="62">
        <f>G742</f>
        <v>0</v>
      </c>
      <c r="H741" s="49">
        <f t="shared" si="133"/>
        <v>7338.1</v>
      </c>
      <c r="I741" s="62">
        <f>I742</f>
        <v>0</v>
      </c>
      <c r="J741" s="49">
        <f t="shared" si="144"/>
        <v>7338.1</v>
      </c>
      <c r="K741" s="62">
        <f>K742</f>
        <v>0</v>
      </c>
      <c r="L741" s="49">
        <f t="shared" si="140"/>
        <v>7338.1</v>
      </c>
      <c r="M741" s="62">
        <f>M742</f>
        <v>0</v>
      </c>
      <c r="N741" s="49">
        <f t="shared" si="143"/>
        <v>7338.1</v>
      </c>
    </row>
    <row r="742" spans="1:14" ht="33" x14ac:dyDescent="0.2">
      <c r="A742" s="50" t="str">
        <f ca="1">IF(ISERROR(MATCH(B742,Код_КЦСР,0)),"",INDIRECT(ADDRESS(MATCH(B742,Код_КЦСР,0)+1,2,,,"КЦСР")))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742" s="79" t="s">
        <v>333</v>
      </c>
      <c r="C742" s="65"/>
      <c r="D742" s="46"/>
      <c r="E742" s="26"/>
      <c r="F742" s="62">
        <f t="shared" ref="F742:M745" si="146">F743</f>
        <v>7338.1</v>
      </c>
      <c r="G742" s="62">
        <f t="shared" si="146"/>
        <v>0</v>
      </c>
      <c r="H742" s="49">
        <f t="shared" si="133"/>
        <v>7338.1</v>
      </c>
      <c r="I742" s="62">
        <f t="shared" si="146"/>
        <v>0</v>
      </c>
      <c r="J742" s="49">
        <f t="shared" si="144"/>
        <v>7338.1</v>
      </c>
      <c r="K742" s="62">
        <f t="shared" si="146"/>
        <v>0</v>
      </c>
      <c r="L742" s="49">
        <f t="shared" si="140"/>
        <v>7338.1</v>
      </c>
      <c r="M742" s="62">
        <f t="shared" si="146"/>
        <v>0</v>
      </c>
      <c r="N742" s="49">
        <f t="shared" si="143"/>
        <v>7338.1</v>
      </c>
    </row>
    <row r="743" spans="1:14" x14ac:dyDescent="0.2">
      <c r="A743" s="50" t="str">
        <f ca="1">IF(ISERROR(MATCH(C743,Код_Раздел,0)),"",INDIRECT(ADDRESS(MATCH(C743,Код_Раздел,0)+1,2,,,"Раздел")))</f>
        <v>Социальная политика</v>
      </c>
      <c r="B743" s="79" t="s">
        <v>333</v>
      </c>
      <c r="C743" s="65" t="s">
        <v>53</v>
      </c>
      <c r="D743" s="46"/>
      <c r="E743" s="26"/>
      <c r="F743" s="62">
        <f t="shared" si="146"/>
        <v>7338.1</v>
      </c>
      <c r="G743" s="62">
        <f t="shared" si="146"/>
        <v>0</v>
      </c>
      <c r="H743" s="49">
        <f t="shared" si="133"/>
        <v>7338.1</v>
      </c>
      <c r="I743" s="62">
        <f t="shared" si="146"/>
        <v>0</v>
      </c>
      <c r="J743" s="49">
        <f t="shared" si="144"/>
        <v>7338.1</v>
      </c>
      <c r="K743" s="62">
        <f t="shared" si="146"/>
        <v>0</v>
      </c>
      <c r="L743" s="49">
        <f t="shared" si="140"/>
        <v>7338.1</v>
      </c>
      <c r="M743" s="62">
        <f t="shared" si="146"/>
        <v>0</v>
      </c>
      <c r="N743" s="49">
        <f t="shared" si="143"/>
        <v>7338.1</v>
      </c>
    </row>
    <row r="744" spans="1:14" x14ac:dyDescent="0.2">
      <c r="A744" s="45" t="s">
        <v>44</v>
      </c>
      <c r="B744" s="79" t="s">
        <v>333</v>
      </c>
      <c r="C744" s="65" t="s">
        <v>53</v>
      </c>
      <c r="D744" s="65" t="s">
        <v>72</v>
      </c>
      <c r="E744" s="26"/>
      <c r="F744" s="62">
        <f t="shared" si="146"/>
        <v>7338.1</v>
      </c>
      <c r="G744" s="62">
        <f t="shared" si="146"/>
        <v>0</v>
      </c>
      <c r="H744" s="49">
        <f t="shared" si="133"/>
        <v>7338.1</v>
      </c>
      <c r="I744" s="62">
        <f t="shared" si="146"/>
        <v>0</v>
      </c>
      <c r="J744" s="49">
        <f t="shared" si="144"/>
        <v>7338.1</v>
      </c>
      <c r="K744" s="62">
        <f t="shared" si="146"/>
        <v>0</v>
      </c>
      <c r="L744" s="49">
        <f t="shared" si="140"/>
        <v>7338.1</v>
      </c>
      <c r="M744" s="62">
        <f t="shared" si="146"/>
        <v>0</v>
      </c>
      <c r="N744" s="49">
        <f t="shared" si="143"/>
        <v>7338.1</v>
      </c>
    </row>
    <row r="745" spans="1:14" x14ac:dyDescent="0.2">
      <c r="A745" s="50" t="str">
        <f ca="1">IF(ISERROR(MATCH(E745,Код_КВР,0)),"",INDIRECT(ADDRESS(MATCH(E745,Код_КВР,0)+1,2,,,"КВР")))</f>
        <v>Социальное обеспечение и иные выплаты населению</v>
      </c>
      <c r="B745" s="79" t="s">
        <v>333</v>
      </c>
      <c r="C745" s="65" t="s">
        <v>53</v>
      </c>
      <c r="D745" s="65" t="s">
        <v>72</v>
      </c>
      <c r="E745" s="26">
        <v>300</v>
      </c>
      <c r="F745" s="62">
        <f t="shared" si="146"/>
        <v>7338.1</v>
      </c>
      <c r="G745" s="62">
        <f t="shared" si="146"/>
        <v>0</v>
      </c>
      <c r="H745" s="49">
        <f t="shared" si="133"/>
        <v>7338.1</v>
      </c>
      <c r="I745" s="62">
        <f t="shared" si="146"/>
        <v>0</v>
      </c>
      <c r="J745" s="49">
        <f t="shared" si="144"/>
        <v>7338.1</v>
      </c>
      <c r="K745" s="62">
        <f t="shared" si="146"/>
        <v>0</v>
      </c>
      <c r="L745" s="49">
        <f t="shared" si="140"/>
        <v>7338.1</v>
      </c>
      <c r="M745" s="62">
        <f t="shared" si="146"/>
        <v>0</v>
      </c>
      <c r="N745" s="49">
        <f t="shared" si="143"/>
        <v>7338.1</v>
      </c>
    </row>
    <row r="746" spans="1:14" ht="33" x14ac:dyDescent="0.2">
      <c r="A746" s="50" t="str">
        <f ca="1">IF(ISERROR(MATCH(E746,Код_КВР,0)),"",INDIRECT(ADDRESS(MATCH(E746,Код_КВР,0)+1,2,,,"КВР")))</f>
        <v>Социальные выплаты гражданам, кроме публичных нормативных социальных выплат</v>
      </c>
      <c r="B746" s="79" t="s">
        <v>333</v>
      </c>
      <c r="C746" s="65" t="s">
        <v>53</v>
      </c>
      <c r="D746" s="65" t="s">
        <v>72</v>
      </c>
      <c r="E746" s="26">
        <v>320</v>
      </c>
      <c r="F746" s="62">
        <f>'прил. 8'!G421</f>
        <v>7338.1</v>
      </c>
      <c r="G746" s="62">
        <f>'прил. 8'!H421</f>
        <v>0</v>
      </c>
      <c r="H746" s="49">
        <f t="shared" si="133"/>
        <v>7338.1</v>
      </c>
      <c r="I746" s="62">
        <f>'прил. 8'!J421</f>
        <v>0</v>
      </c>
      <c r="J746" s="49">
        <f t="shared" si="144"/>
        <v>7338.1</v>
      </c>
      <c r="K746" s="62">
        <f>'прил. 8'!L421</f>
        <v>0</v>
      </c>
      <c r="L746" s="49">
        <f t="shared" si="140"/>
        <v>7338.1</v>
      </c>
      <c r="M746" s="62">
        <f>'прил. 8'!N421</f>
        <v>0</v>
      </c>
      <c r="N746" s="49">
        <f t="shared" si="143"/>
        <v>7338.1</v>
      </c>
    </row>
    <row r="747" spans="1:14" ht="49.5" x14ac:dyDescent="0.2">
      <c r="A747" s="50" t="str">
        <f ca="1">IF(ISERROR(MATCH(B747,Код_КЦСР,0)),"",INDIRECT(ADDRESS(MATCH(B747,Код_КЦСР,0)+1,2,,,"КЦСР")))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2020 годы</v>
      </c>
      <c r="B747" s="79" t="s">
        <v>334</v>
      </c>
      <c r="C747" s="65"/>
      <c r="D747" s="46"/>
      <c r="E747" s="26"/>
      <c r="F747" s="62">
        <f>F749</f>
        <v>298.89999999999998</v>
      </c>
      <c r="G747" s="62">
        <f>G749</f>
        <v>0</v>
      </c>
      <c r="H747" s="49">
        <f t="shared" si="133"/>
        <v>298.89999999999998</v>
      </c>
      <c r="I747" s="62">
        <f>I749</f>
        <v>0</v>
      </c>
      <c r="J747" s="49">
        <f t="shared" si="144"/>
        <v>298.89999999999998</v>
      </c>
      <c r="K747" s="62">
        <f>K749</f>
        <v>0</v>
      </c>
      <c r="L747" s="49">
        <f t="shared" si="140"/>
        <v>298.89999999999998</v>
      </c>
      <c r="M747" s="62">
        <f>M749</f>
        <v>0</v>
      </c>
      <c r="N747" s="49">
        <f t="shared" si="143"/>
        <v>298.89999999999998</v>
      </c>
    </row>
    <row r="748" spans="1:14" ht="33" x14ac:dyDescent="0.2">
      <c r="A748" s="50" t="str">
        <f ca="1">IF(ISERROR(MATCH(B748,Код_КЦСР,0)),"",INDIRECT(ADDRESS(MATCH(B748,Код_КЦСР,0)+1,2,,,"КЦСР")))</f>
        <v>Энергосбережение и повышение энергетической эффективности в жилищном фонде</v>
      </c>
      <c r="B748" s="79" t="s">
        <v>335</v>
      </c>
      <c r="C748" s="65"/>
      <c r="D748" s="65"/>
      <c r="E748" s="26"/>
      <c r="F748" s="62">
        <f t="shared" ref="F748:M752" si="147">F749</f>
        <v>298.89999999999998</v>
      </c>
      <c r="G748" s="62">
        <f t="shared" si="147"/>
        <v>0</v>
      </c>
      <c r="H748" s="49">
        <f t="shared" si="133"/>
        <v>298.89999999999998</v>
      </c>
      <c r="I748" s="62">
        <f t="shared" si="147"/>
        <v>0</v>
      </c>
      <c r="J748" s="49">
        <f t="shared" si="144"/>
        <v>298.89999999999998</v>
      </c>
      <c r="K748" s="62">
        <f t="shared" si="147"/>
        <v>0</v>
      </c>
      <c r="L748" s="49">
        <f t="shared" si="140"/>
        <v>298.89999999999998</v>
      </c>
      <c r="M748" s="62">
        <f t="shared" si="147"/>
        <v>0</v>
      </c>
      <c r="N748" s="49">
        <f t="shared" si="143"/>
        <v>298.89999999999998</v>
      </c>
    </row>
    <row r="749" spans="1:14" ht="33" x14ac:dyDescent="0.2">
      <c r="A749" s="50" t="str">
        <f ca="1">IF(ISERROR(MATCH(B749,Код_КЦСР,0)),"",INDIRECT(ADDRESS(MATCH(B749,Код_КЦСР,0)+1,2,,,"КЦСР")))</f>
        <v>Оснащение индивидуальными приборами учета коммунальных ресурсов жилых помещений в многоквартирных домах</v>
      </c>
      <c r="B749" s="79" t="s">
        <v>336</v>
      </c>
      <c r="C749" s="65"/>
      <c r="D749" s="65"/>
      <c r="E749" s="26"/>
      <c r="F749" s="62">
        <f t="shared" si="147"/>
        <v>298.89999999999998</v>
      </c>
      <c r="G749" s="62">
        <f t="shared" si="147"/>
        <v>0</v>
      </c>
      <c r="H749" s="49">
        <f t="shared" si="133"/>
        <v>298.89999999999998</v>
      </c>
      <c r="I749" s="62">
        <f t="shared" si="147"/>
        <v>0</v>
      </c>
      <c r="J749" s="49">
        <f t="shared" si="144"/>
        <v>298.89999999999998</v>
      </c>
      <c r="K749" s="62">
        <f t="shared" si="147"/>
        <v>0</v>
      </c>
      <c r="L749" s="49">
        <f t="shared" si="140"/>
        <v>298.89999999999998</v>
      </c>
      <c r="M749" s="62">
        <f t="shared" si="147"/>
        <v>0</v>
      </c>
      <c r="N749" s="49">
        <f t="shared" si="143"/>
        <v>298.89999999999998</v>
      </c>
    </row>
    <row r="750" spans="1:14" x14ac:dyDescent="0.2">
      <c r="A750" s="50" t="str">
        <f ca="1">IF(ISERROR(MATCH(C750,Код_Раздел,0)),"",INDIRECT(ADDRESS(MATCH(C750,Код_Раздел,0)+1,2,,,"Раздел")))</f>
        <v>Жилищно-коммунальное хозяйство</v>
      </c>
      <c r="B750" s="79" t="s">
        <v>336</v>
      </c>
      <c r="C750" s="65" t="s">
        <v>78</v>
      </c>
      <c r="D750" s="65"/>
      <c r="E750" s="26"/>
      <c r="F750" s="62">
        <f t="shared" si="147"/>
        <v>298.89999999999998</v>
      </c>
      <c r="G750" s="62">
        <f t="shared" si="147"/>
        <v>0</v>
      </c>
      <c r="H750" s="49">
        <f t="shared" si="133"/>
        <v>298.89999999999998</v>
      </c>
      <c r="I750" s="62">
        <f t="shared" si="147"/>
        <v>0</v>
      </c>
      <c r="J750" s="49">
        <f t="shared" si="144"/>
        <v>298.89999999999998</v>
      </c>
      <c r="K750" s="62">
        <f t="shared" si="147"/>
        <v>0</v>
      </c>
      <c r="L750" s="49">
        <f t="shared" si="140"/>
        <v>298.89999999999998</v>
      </c>
      <c r="M750" s="62">
        <f t="shared" si="147"/>
        <v>0</v>
      </c>
      <c r="N750" s="49">
        <f t="shared" si="143"/>
        <v>298.89999999999998</v>
      </c>
    </row>
    <row r="751" spans="1:14" x14ac:dyDescent="0.2">
      <c r="A751" s="45" t="s">
        <v>83</v>
      </c>
      <c r="B751" s="79" t="s">
        <v>336</v>
      </c>
      <c r="C751" s="65" t="s">
        <v>78</v>
      </c>
      <c r="D751" s="65" t="s">
        <v>70</v>
      </c>
      <c r="E751" s="26"/>
      <c r="F751" s="62">
        <f t="shared" si="147"/>
        <v>298.89999999999998</v>
      </c>
      <c r="G751" s="62">
        <f t="shared" si="147"/>
        <v>0</v>
      </c>
      <c r="H751" s="49">
        <f t="shared" si="133"/>
        <v>298.89999999999998</v>
      </c>
      <c r="I751" s="62">
        <f t="shared" si="147"/>
        <v>0</v>
      </c>
      <c r="J751" s="49">
        <f t="shared" si="144"/>
        <v>298.89999999999998</v>
      </c>
      <c r="K751" s="62">
        <f t="shared" si="147"/>
        <v>0</v>
      </c>
      <c r="L751" s="49">
        <f t="shared" si="140"/>
        <v>298.89999999999998</v>
      </c>
      <c r="M751" s="62">
        <f t="shared" si="147"/>
        <v>0</v>
      </c>
      <c r="N751" s="49">
        <f t="shared" si="143"/>
        <v>298.89999999999998</v>
      </c>
    </row>
    <row r="752" spans="1:14" ht="33" x14ac:dyDescent="0.2">
      <c r="A752" s="50" t="str">
        <f ca="1">IF(ISERROR(MATCH(E752,Код_КВР,0)),"",INDIRECT(ADDRESS(MATCH(E752,Код_КВР,0)+1,2,,,"КВР")))</f>
        <v>Закупка товаров, работ и услуг для обеспечения государственных (муниципальных) нужд</v>
      </c>
      <c r="B752" s="79" t="s">
        <v>336</v>
      </c>
      <c r="C752" s="65" t="s">
        <v>78</v>
      </c>
      <c r="D752" s="65" t="s">
        <v>70</v>
      </c>
      <c r="E752" s="26">
        <v>200</v>
      </c>
      <c r="F752" s="62">
        <f t="shared" si="147"/>
        <v>298.89999999999998</v>
      </c>
      <c r="G752" s="62">
        <f t="shared" si="147"/>
        <v>0</v>
      </c>
      <c r="H752" s="49">
        <f t="shared" si="133"/>
        <v>298.89999999999998</v>
      </c>
      <c r="I752" s="62">
        <f t="shared" si="147"/>
        <v>0</v>
      </c>
      <c r="J752" s="49">
        <f t="shared" si="144"/>
        <v>298.89999999999998</v>
      </c>
      <c r="K752" s="62">
        <f t="shared" si="147"/>
        <v>0</v>
      </c>
      <c r="L752" s="49">
        <f t="shared" si="140"/>
        <v>298.89999999999998</v>
      </c>
      <c r="M752" s="62">
        <f t="shared" si="147"/>
        <v>0</v>
      </c>
      <c r="N752" s="49">
        <f t="shared" si="143"/>
        <v>298.89999999999998</v>
      </c>
    </row>
    <row r="753" spans="1:14" ht="33" x14ac:dyDescent="0.2">
      <c r="A753" s="50" t="str">
        <f ca="1">IF(ISERROR(MATCH(E753,Код_КВР,0)),"",INDIRECT(ADDRESS(MATCH(E753,Код_КВР,0)+1,2,,,"КВР")))</f>
        <v>Иные закупки товаров, работ и услуг для обеспечения государственных (муниципальных) нужд</v>
      </c>
      <c r="B753" s="79" t="s">
        <v>336</v>
      </c>
      <c r="C753" s="65" t="s">
        <v>78</v>
      </c>
      <c r="D753" s="65" t="s">
        <v>70</v>
      </c>
      <c r="E753" s="26">
        <v>240</v>
      </c>
      <c r="F753" s="62">
        <f>'прил. 8'!G552</f>
        <v>298.89999999999998</v>
      </c>
      <c r="G753" s="62">
        <f>'прил. 8'!H552</f>
        <v>0</v>
      </c>
      <c r="H753" s="49">
        <f t="shared" si="133"/>
        <v>298.89999999999998</v>
      </c>
      <c r="I753" s="62">
        <f>'прил. 8'!J552</f>
        <v>0</v>
      </c>
      <c r="J753" s="49">
        <f t="shared" si="144"/>
        <v>298.89999999999998</v>
      </c>
      <c r="K753" s="62">
        <f>'прил. 8'!L552</f>
        <v>0</v>
      </c>
      <c r="L753" s="49">
        <f t="shared" si="140"/>
        <v>298.89999999999998</v>
      </c>
      <c r="M753" s="62">
        <f>'прил. 8'!N552</f>
        <v>0</v>
      </c>
      <c r="N753" s="49">
        <f t="shared" si="143"/>
        <v>298.89999999999998</v>
      </c>
    </row>
    <row r="754" spans="1:14" ht="33" x14ac:dyDescent="0.2">
      <c r="A754" s="50" t="str">
        <f ca="1">IF(ISERROR(MATCH(B754,Код_КЦСР,0)),"",INDIRECT(ADDRESS(MATCH(B754,Код_КЦСР,0)+1,2,,,"КЦСР")))</f>
        <v>Муниципальная программа «Развитие городского общественного транспорта» на 2014 – 2022 годы</v>
      </c>
      <c r="B754" s="79" t="s">
        <v>515</v>
      </c>
      <c r="C754" s="65"/>
      <c r="D754" s="46"/>
      <c r="E754" s="26"/>
      <c r="F754" s="62">
        <f t="shared" ref="F754:M758" si="148">F755</f>
        <v>37238.300000000003</v>
      </c>
      <c r="G754" s="62">
        <f t="shared" si="148"/>
        <v>0</v>
      </c>
      <c r="H754" s="49">
        <f t="shared" si="133"/>
        <v>37238.300000000003</v>
      </c>
      <c r="I754" s="62">
        <f t="shared" si="148"/>
        <v>0</v>
      </c>
      <c r="J754" s="49">
        <f t="shared" si="144"/>
        <v>37238.300000000003</v>
      </c>
      <c r="K754" s="62">
        <f t="shared" si="148"/>
        <v>0</v>
      </c>
      <c r="L754" s="49">
        <f t="shared" si="140"/>
        <v>37238.300000000003</v>
      </c>
      <c r="M754" s="62">
        <f t="shared" si="148"/>
        <v>0</v>
      </c>
      <c r="N754" s="49">
        <f t="shared" si="143"/>
        <v>37238.300000000003</v>
      </c>
    </row>
    <row r="755" spans="1:14" x14ac:dyDescent="0.2">
      <c r="A755" s="50" t="str">
        <f ca="1">IF(ISERROR(MATCH(B755,Код_КЦСР,0)),"",INDIRECT(ADDRESS(MATCH(B755,Код_КЦСР,0)+1,2,,,"КЦСР")))</f>
        <v>Приобретение автобусов в муниципальную собственность</v>
      </c>
      <c r="B755" s="79" t="s">
        <v>522</v>
      </c>
      <c r="C755" s="65"/>
      <c r="D755" s="46"/>
      <c r="E755" s="26"/>
      <c r="F755" s="62">
        <f t="shared" si="148"/>
        <v>37238.300000000003</v>
      </c>
      <c r="G755" s="62">
        <f t="shared" si="148"/>
        <v>0</v>
      </c>
      <c r="H755" s="49">
        <f t="shared" si="133"/>
        <v>37238.300000000003</v>
      </c>
      <c r="I755" s="62">
        <f t="shared" si="148"/>
        <v>0</v>
      </c>
      <c r="J755" s="49">
        <f t="shared" si="144"/>
        <v>37238.300000000003</v>
      </c>
      <c r="K755" s="62">
        <f t="shared" si="148"/>
        <v>0</v>
      </c>
      <c r="L755" s="49">
        <f t="shared" si="140"/>
        <v>37238.300000000003</v>
      </c>
      <c r="M755" s="62">
        <f t="shared" si="148"/>
        <v>0</v>
      </c>
      <c r="N755" s="49">
        <f t="shared" si="143"/>
        <v>37238.300000000003</v>
      </c>
    </row>
    <row r="756" spans="1:14" x14ac:dyDescent="0.2">
      <c r="A756" s="50" t="str">
        <f ca="1">IF(ISERROR(MATCH(C756,Код_Раздел,0)),"",INDIRECT(ADDRESS(MATCH(C756,Код_Раздел,0)+1,2,,,"Раздел")))</f>
        <v>Национальная экономика</v>
      </c>
      <c r="B756" s="79" t="s">
        <v>522</v>
      </c>
      <c r="C756" s="65" t="s">
        <v>73</v>
      </c>
      <c r="D756" s="46"/>
      <c r="E756" s="26"/>
      <c r="F756" s="62">
        <f t="shared" si="148"/>
        <v>37238.300000000003</v>
      </c>
      <c r="G756" s="62">
        <f t="shared" si="148"/>
        <v>0</v>
      </c>
      <c r="H756" s="49">
        <f t="shared" si="133"/>
        <v>37238.300000000003</v>
      </c>
      <c r="I756" s="62">
        <f t="shared" si="148"/>
        <v>0</v>
      </c>
      <c r="J756" s="49">
        <f t="shared" si="144"/>
        <v>37238.300000000003</v>
      </c>
      <c r="K756" s="62">
        <f t="shared" si="148"/>
        <v>0</v>
      </c>
      <c r="L756" s="49">
        <f t="shared" si="140"/>
        <v>37238.300000000003</v>
      </c>
      <c r="M756" s="62">
        <f t="shared" si="148"/>
        <v>0</v>
      </c>
      <c r="N756" s="49">
        <f t="shared" si="143"/>
        <v>37238.300000000003</v>
      </c>
    </row>
    <row r="757" spans="1:14" x14ac:dyDescent="0.2">
      <c r="A757" s="51" t="s">
        <v>146</v>
      </c>
      <c r="B757" s="79" t="s">
        <v>522</v>
      </c>
      <c r="C757" s="65" t="s">
        <v>73</v>
      </c>
      <c r="D757" s="65" t="s">
        <v>79</v>
      </c>
      <c r="E757" s="26"/>
      <c r="F757" s="62">
        <f t="shared" si="148"/>
        <v>37238.300000000003</v>
      </c>
      <c r="G757" s="62">
        <f t="shared" si="148"/>
        <v>0</v>
      </c>
      <c r="H757" s="49">
        <f t="shared" si="133"/>
        <v>37238.300000000003</v>
      </c>
      <c r="I757" s="62">
        <f t="shared" si="148"/>
        <v>0</v>
      </c>
      <c r="J757" s="49">
        <f t="shared" si="144"/>
        <v>37238.300000000003</v>
      </c>
      <c r="K757" s="62">
        <f t="shared" si="148"/>
        <v>0</v>
      </c>
      <c r="L757" s="49">
        <f t="shared" si="140"/>
        <v>37238.300000000003</v>
      </c>
      <c r="M757" s="62">
        <f t="shared" si="148"/>
        <v>0</v>
      </c>
      <c r="N757" s="49">
        <f t="shared" si="143"/>
        <v>37238.300000000003</v>
      </c>
    </row>
    <row r="758" spans="1:14" ht="33" x14ac:dyDescent="0.2">
      <c r="A758" s="50" t="str">
        <f ca="1">IF(ISERROR(MATCH(E758,Код_КВР,0)),"",INDIRECT(ADDRESS(MATCH(E758,Код_КВР,0)+1,2,,,"КВР")))</f>
        <v>Закупка товаров, работ и услуг для обеспечения государственных (муниципальных) нужд</v>
      </c>
      <c r="B758" s="79" t="s">
        <v>522</v>
      </c>
      <c r="C758" s="65" t="s">
        <v>73</v>
      </c>
      <c r="D758" s="65" t="s">
        <v>79</v>
      </c>
      <c r="E758" s="26">
        <v>200</v>
      </c>
      <c r="F758" s="62">
        <f t="shared" si="148"/>
        <v>37238.300000000003</v>
      </c>
      <c r="G758" s="62">
        <f t="shared" si="148"/>
        <v>0</v>
      </c>
      <c r="H758" s="49">
        <f t="shared" si="133"/>
        <v>37238.300000000003</v>
      </c>
      <c r="I758" s="62">
        <f t="shared" si="148"/>
        <v>0</v>
      </c>
      <c r="J758" s="49">
        <f t="shared" si="144"/>
        <v>37238.300000000003</v>
      </c>
      <c r="K758" s="62">
        <f t="shared" si="148"/>
        <v>0</v>
      </c>
      <c r="L758" s="49">
        <f t="shared" si="140"/>
        <v>37238.300000000003</v>
      </c>
      <c r="M758" s="62">
        <f t="shared" si="148"/>
        <v>0</v>
      </c>
      <c r="N758" s="49">
        <f t="shared" si="143"/>
        <v>37238.300000000003</v>
      </c>
    </row>
    <row r="759" spans="1:14" ht="33" x14ac:dyDescent="0.2">
      <c r="A759" s="50" t="str">
        <f ca="1">IF(ISERROR(MATCH(E759,Код_КВР,0)),"",INDIRECT(ADDRESS(MATCH(E759,Код_КВР,0)+1,2,,,"КВР")))</f>
        <v>Иные закупки товаров, работ и услуг для обеспечения государственных (муниципальных) нужд</v>
      </c>
      <c r="B759" s="79" t="s">
        <v>522</v>
      </c>
      <c r="C759" s="65" t="s">
        <v>73</v>
      </c>
      <c r="D759" s="65" t="s">
        <v>79</v>
      </c>
      <c r="E759" s="26">
        <v>240</v>
      </c>
      <c r="F759" s="62">
        <f>'прил. 8'!G1123</f>
        <v>37238.300000000003</v>
      </c>
      <c r="G759" s="62">
        <f>'прил. 8'!H1123</f>
        <v>0</v>
      </c>
      <c r="H759" s="49">
        <f t="shared" si="133"/>
        <v>37238.300000000003</v>
      </c>
      <c r="I759" s="62">
        <f>'прил. 8'!J1123</f>
        <v>0</v>
      </c>
      <c r="J759" s="49">
        <f t="shared" si="144"/>
        <v>37238.300000000003</v>
      </c>
      <c r="K759" s="62">
        <f>'прил. 8'!L1123</f>
        <v>0</v>
      </c>
      <c r="L759" s="49">
        <f t="shared" si="140"/>
        <v>37238.300000000003</v>
      </c>
      <c r="M759" s="62">
        <f>'прил. 8'!N1123</f>
        <v>0</v>
      </c>
      <c r="N759" s="49">
        <f t="shared" si="143"/>
        <v>37238.300000000003</v>
      </c>
    </row>
    <row r="760" spans="1:14" ht="33" x14ac:dyDescent="0.2">
      <c r="A760" s="50" t="str">
        <f ca="1">IF(ISERROR(MATCH(B760,Код_КЦСР,0)),"",INDIRECT(ADDRESS(MATCH(B760,Код_КЦСР,0)+1,2,,,"КЦСР")))</f>
        <v>Муниципальная программа «Реализация градостроительной политики города Череповца» на 2014 – 2022 годы</v>
      </c>
      <c r="B760" s="79" t="s">
        <v>337</v>
      </c>
      <c r="C760" s="65"/>
      <c r="D760" s="46"/>
      <c r="E760" s="26"/>
      <c r="F760" s="62">
        <f>F766+F761</f>
        <v>23924.7</v>
      </c>
      <c r="G760" s="62">
        <f>G766+G761</f>
        <v>0</v>
      </c>
      <c r="H760" s="49">
        <f t="shared" si="133"/>
        <v>23924.7</v>
      </c>
      <c r="I760" s="62">
        <f>I766+I761</f>
        <v>0</v>
      </c>
      <c r="J760" s="49">
        <f t="shared" si="144"/>
        <v>23924.7</v>
      </c>
      <c r="K760" s="62">
        <f>K766+K761</f>
        <v>0</v>
      </c>
      <c r="L760" s="49">
        <f t="shared" si="140"/>
        <v>23924.7</v>
      </c>
      <c r="M760" s="62">
        <f>M766+M761</f>
        <v>0</v>
      </c>
      <c r="N760" s="49">
        <f t="shared" si="143"/>
        <v>23924.7</v>
      </c>
    </row>
    <row r="761" spans="1:14" ht="33" hidden="1" x14ac:dyDescent="0.2">
      <c r="A761" s="50" t="str">
        <f ca="1">IF(ISERROR(MATCH(B761,Код_КЦСР,0)),"",INDIRECT(ADDRESS(MATCH(B761,Код_КЦСР,0)+1,2,,,"КЦСР")))</f>
        <v>Обеспечение подготовки градостроительной документации и нормативно-правовых актов</v>
      </c>
      <c r="B761" s="79" t="s">
        <v>450</v>
      </c>
      <c r="C761" s="65"/>
      <c r="D761" s="46"/>
      <c r="E761" s="26"/>
      <c r="F761" s="62">
        <f t="shared" ref="F761:M764" si="149">F762</f>
        <v>0</v>
      </c>
      <c r="G761" s="62">
        <f t="shared" si="149"/>
        <v>0</v>
      </c>
      <c r="H761" s="49">
        <f t="shared" si="133"/>
        <v>0</v>
      </c>
      <c r="I761" s="62">
        <f t="shared" si="149"/>
        <v>0</v>
      </c>
      <c r="J761" s="49">
        <f t="shared" si="144"/>
        <v>0</v>
      </c>
      <c r="K761" s="62">
        <f t="shared" si="149"/>
        <v>0</v>
      </c>
      <c r="L761" s="49">
        <f t="shared" si="140"/>
        <v>0</v>
      </c>
      <c r="M761" s="62">
        <f t="shared" si="149"/>
        <v>0</v>
      </c>
      <c r="N761" s="49">
        <f t="shared" si="143"/>
        <v>0</v>
      </c>
    </row>
    <row r="762" spans="1:14" hidden="1" x14ac:dyDescent="0.2">
      <c r="A762" s="50" t="str">
        <f ca="1">IF(ISERROR(MATCH(C762,Код_Раздел,0)),"",INDIRECT(ADDRESS(MATCH(C762,Код_Раздел,0)+1,2,,,"Раздел")))</f>
        <v>Национальная экономика</v>
      </c>
      <c r="B762" s="79" t="s">
        <v>450</v>
      </c>
      <c r="C762" s="65" t="s">
        <v>73</v>
      </c>
      <c r="D762" s="46"/>
      <c r="E762" s="26"/>
      <c r="F762" s="62">
        <f t="shared" si="149"/>
        <v>0</v>
      </c>
      <c r="G762" s="62">
        <f t="shared" si="149"/>
        <v>0</v>
      </c>
      <c r="H762" s="49">
        <f t="shared" si="133"/>
        <v>0</v>
      </c>
      <c r="I762" s="62">
        <f t="shared" si="149"/>
        <v>0</v>
      </c>
      <c r="J762" s="49">
        <f t="shared" si="144"/>
        <v>0</v>
      </c>
      <c r="K762" s="62">
        <f t="shared" si="149"/>
        <v>0</v>
      </c>
      <c r="L762" s="49">
        <f t="shared" si="140"/>
        <v>0</v>
      </c>
      <c r="M762" s="62">
        <f t="shared" si="149"/>
        <v>0</v>
      </c>
      <c r="N762" s="49">
        <f t="shared" si="143"/>
        <v>0</v>
      </c>
    </row>
    <row r="763" spans="1:14" hidden="1" x14ac:dyDescent="0.2">
      <c r="A763" s="45" t="s">
        <v>80</v>
      </c>
      <c r="B763" s="79" t="s">
        <v>450</v>
      </c>
      <c r="C763" s="65" t="s">
        <v>73</v>
      </c>
      <c r="D763" s="46" t="s">
        <v>61</v>
      </c>
      <c r="E763" s="26"/>
      <c r="F763" s="62">
        <f t="shared" si="149"/>
        <v>0</v>
      </c>
      <c r="G763" s="62">
        <f t="shared" si="149"/>
        <v>0</v>
      </c>
      <c r="H763" s="49">
        <f t="shared" ref="H763:H827" si="150">F763+G763</f>
        <v>0</v>
      </c>
      <c r="I763" s="62">
        <f t="shared" si="149"/>
        <v>0</v>
      </c>
      <c r="J763" s="49">
        <f t="shared" si="144"/>
        <v>0</v>
      </c>
      <c r="K763" s="62">
        <f t="shared" si="149"/>
        <v>0</v>
      </c>
      <c r="L763" s="49">
        <f t="shared" si="140"/>
        <v>0</v>
      </c>
      <c r="M763" s="62">
        <f t="shared" si="149"/>
        <v>0</v>
      </c>
      <c r="N763" s="49">
        <f t="shared" si="143"/>
        <v>0</v>
      </c>
    </row>
    <row r="764" spans="1:14" ht="33" hidden="1" x14ac:dyDescent="0.2">
      <c r="A764" s="50" t="str">
        <f ca="1">IF(ISERROR(MATCH(E764,Код_КВР,0)),"",INDIRECT(ADDRESS(MATCH(E764,Код_КВР,0)+1,2,,,"КВР")))</f>
        <v>Закупка товаров, работ и услуг для обеспечения государственных (муниципальных) нужд</v>
      </c>
      <c r="B764" s="79" t="s">
        <v>450</v>
      </c>
      <c r="C764" s="65" t="s">
        <v>73</v>
      </c>
      <c r="D764" s="46" t="s">
        <v>61</v>
      </c>
      <c r="E764" s="26">
        <v>200</v>
      </c>
      <c r="F764" s="62">
        <f t="shared" si="149"/>
        <v>0</v>
      </c>
      <c r="G764" s="62">
        <f t="shared" si="149"/>
        <v>0</v>
      </c>
      <c r="H764" s="49">
        <f t="shared" si="150"/>
        <v>0</v>
      </c>
      <c r="I764" s="62">
        <f t="shared" si="149"/>
        <v>0</v>
      </c>
      <c r="J764" s="49">
        <f t="shared" si="144"/>
        <v>0</v>
      </c>
      <c r="K764" s="62">
        <f t="shared" si="149"/>
        <v>0</v>
      </c>
      <c r="L764" s="49">
        <f t="shared" si="140"/>
        <v>0</v>
      </c>
      <c r="M764" s="62">
        <f t="shared" si="149"/>
        <v>0</v>
      </c>
      <c r="N764" s="49">
        <f t="shared" si="143"/>
        <v>0</v>
      </c>
    </row>
    <row r="765" spans="1:14" ht="33" hidden="1" x14ac:dyDescent="0.2">
      <c r="A765" s="50" t="str">
        <f ca="1">IF(ISERROR(MATCH(E765,Код_КВР,0)),"",INDIRECT(ADDRESS(MATCH(E765,Код_КВР,0)+1,2,,,"КВР")))</f>
        <v>Иные закупки товаров, работ и услуг для обеспечения государственных (муниципальных) нужд</v>
      </c>
      <c r="B765" s="79" t="s">
        <v>450</v>
      </c>
      <c r="C765" s="65" t="s">
        <v>73</v>
      </c>
      <c r="D765" s="46" t="s">
        <v>61</v>
      </c>
      <c r="E765" s="26">
        <v>240</v>
      </c>
      <c r="F765" s="62">
        <f>'прил. 8'!G625</f>
        <v>0</v>
      </c>
      <c r="G765" s="62">
        <f>'прил. 8'!H625</f>
        <v>0</v>
      </c>
      <c r="H765" s="49">
        <f t="shared" si="150"/>
        <v>0</v>
      </c>
      <c r="I765" s="62">
        <f>'прил. 8'!J625</f>
        <v>0</v>
      </c>
      <c r="J765" s="49">
        <f t="shared" si="144"/>
        <v>0</v>
      </c>
      <c r="K765" s="62">
        <f>'прил. 8'!L625</f>
        <v>0</v>
      </c>
      <c r="L765" s="49">
        <f t="shared" si="140"/>
        <v>0</v>
      </c>
      <c r="M765" s="62">
        <f>'прил. 8'!N625</f>
        <v>0</v>
      </c>
      <c r="N765" s="49">
        <f t="shared" si="143"/>
        <v>0</v>
      </c>
    </row>
    <row r="766" spans="1:14" ht="33" x14ac:dyDescent="0.2">
      <c r="A766" s="50" t="str">
        <f ca="1">IF(ISERROR(MATCH(B766,Код_КЦСР,0)),"",INDIRECT(ADDRESS(MATCH(B766,Код_КЦСР,0)+1,2,,,"КЦСР")))</f>
        <v>Организация работ по реализации целей, задач управления, выполнение его функциональных обязанностей и реализации муниципальной программы</v>
      </c>
      <c r="B766" s="79" t="s">
        <v>339</v>
      </c>
      <c r="C766" s="65"/>
      <c r="D766" s="46"/>
      <c r="E766" s="26"/>
      <c r="F766" s="62">
        <f t="shared" ref="F766:M768" si="151">F767</f>
        <v>23924.7</v>
      </c>
      <c r="G766" s="62">
        <f t="shared" si="151"/>
        <v>0</v>
      </c>
      <c r="H766" s="49">
        <f t="shared" si="150"/>
        <v>23924.7</v>
      </c>
      <c r="I766" s="62">
        <f t="shared" si="151"/>
        <v>0</v>
      </c>
      <c r="J766" s="49">
        <f t="shared" si="144"/>
        <v>23924.7</v>
      </c>
      <c r="K766" s="62">
        <f t="shared" si="151"/>
        <v>0</v>
      </c>
      <c r="L766" s="49">
        <f t="shared" si="140"/>
        <v>23924.7</v>
      </c>
      <c r="M766" s="62">
        <f t="shared" si="151"/>
        <v>0</v>
      </c>
      <c r="N766" s="49">
        <f t="shared" si="143"/>
        <v>23924.7</v>
      </c>
    </row>
    <row r="767" spans="1:14" x14ac:dyDescent="0.2">
      <c r="A767" s="50" t="str">
        <f ca="1">IF(ISERROR(MATCH(B767,Код_КЦСР,0)),"",INDIRECT(ADDRESS(MATCH(B767,Код_КЦСР,0)+1,2,,,"КЦСР")))</f>
        <v>Расходы на обеспечение функций органов местного самоуправления</v>
      </c>
      <c r="B767" s="79" t="s">
        <v>340</v>
      </c>
      <c r="C767" s="65"/>
      <c r="D767" s="46"/>
      <c r="E767" s="26"/>
      <c r="F767" s="62">
        <f t="shared" si="151"/>
        <v>23924.7</v>
      </c>
      <c r="G767" s="62">
        <f t="shared" si="151"/>
        <v>0</v>
      </c>
      <c r="H767" s="49">
        <f t="shared" si="150"/>
        <v>23924.7</v>
      </c>
      <c r="I767" s="62">
        <f t="shared" si="151"/>
        <v>0</v>
      </c>
      <c r="J767" s="49">
        <f t="shared" si="144"/>
        <v>23924.7</v>
      </c>
      <c r="K767" s="62">
        <f t="shared" si="151"/>
        <v>0</v>
      </c>
      <c r="L767" s="49">
        <f t="shared" si="140"/>
        <v>23924.7</v>
      </c>
      <c r="M767" s="62">
        <f t="shared" si="151"/>
        <v>0</v>
      </c>
      <c r="N767" s="49">
        <f t="shared" si="143"/>
        <v>23924.7</v>
      </c>
    </row>
    <row r="768" spans="1:14" x14ac:dyDescent="0.2">
      <c r="A768" s="50" t="str">
        <f ca="1">IF(ISERROR(MATCH(C768,Код_Раздел,0)),"",INDIRECT(ADDRESS(MATCH(C768,Код_Раздел,0)+1,2,,,"Раздел")))</f>
        <v>Национальная экономика</v>
      </c>
      <c r="B768" s="79" t="s">
        <v>340</v>
      </c>
      <c r="C768" s="65" t="s">
        <v>73</v>
      </c>
      <c r="D768" s="46"/>
      <c r="E768" s="26"/>
      <c r="F768" s="62">
        <f t="shared" si="151"/>
        <v>23924.7</v>
      </c>
      <c r="G768" s="62">
        <f t="shared" si="151"/>
        <v>0</v>
      </c>
      <c r="H768" s="49">
        <f t="shared" si="150"/>
        <v>23924.7</v>
      </c>
      <c r="I768" s="62">
        <f t="shared" si="151"/>
        <v>0</v>
      </c>
      <c r="J768" s="49">
        <f t="shared" si="144"/>
        <v>23924.7</v>
      </c>
      <c r="K768" s="62">
        <f t="shared" si="151"/>
        <v>0</v>
      </c>
      <c r="L768" s="49">
        <f t="shared" si="140"/>
        <v>23924.7</v>
      </c>
      <c r="M768" s="62">
        <f t="shared" si="151"/>
        <v>0</v>
      </c>
      <c r="N768" s="49">
        <f t="shared" si="143"/>
        <v>23924.7</v>
      </c>
    </row>
    <row r="769" spans="1:14" x14ac:dyDescent="0.2">
      <c r="A769" s="45" t="s">
        <v>80</v>
      </c>
      <c r="B769" s="79" t="s">
        <v>340</v>
      </c>
      <c r="C769" s="65" t="s">
        <v>73</v>
      </c>
      <c r="D769" s="65" t="s">
        <v>61</v>
      </c>
      <c r="E769" s="26"/>
      <c r="F769" s="62">
        <f>F770+F772</f>
        <v>23924.7</v>
      </c>
      <c r="G769" s="62">
        <f>G770+G772</f>
        <v>0</v>
      </c>
      <c r="H769" s="49">
        <f t="shared" si="150"/>
        <v>23924.7</v>
      </c>
      <c r="I769" s="62">
        <f>I770+I772</f>
        <v>0</v>
      </c>
      <c r="J769" s="49">
        <f t="shared" si="144"/>
        <v>23924.7</v>
      </c>
      <c r="K769" s="62">
        <f>K770+K772</f>
        <v>0</v>
      </c>
      <c r="L769" s="49">
        <f t="shared" si="140"/>
        <v>23924.7</v>
      </c>
      <c r="M769" s="62">
        <f>M770+M772</f>
        <v>0</v>
      </c>
      <c r="N769" s="49">
        <f t="shared" si="143"/>
        <v>23924.7</v>
      </c>
    </row>
    <row r="770" spans="1:14" ht="49.5" x14ac:dyDescent="0.2">
      <c r="A770" s="50" t="str">
        <f ca="1">IF(ISERROR(MATCH(E770,Код_КВР,0)),"",INDIRECT(ADDRESS(MATCH(E770,Код_КВР,0)+1,2,,,"КВР")))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70" s="79" t="s">
        <v>340</v>
      </c>
      <c r="C770" s="65" t="s">
        <v>73</v>
      </c>
      <c r="D770" s="65" t="s">
        <v>61</v>
      </c>
      <c r="E770" s="26">
        <v>100</v>
      </c>
      <c r="F770" s="62">
        <f>F771</f>
        <v>23909.7</v>
      </c>
      <c r="G770" s="62">
        <f>G771</f>
        <v>0</v>
      </c>
      <c r="H770" s="49">
        <f t="shared" si="150"/>
        <v>23909.7</v>
      </c>
      <c r="I770" s="62">
        <f>I771</f>
        <v>0</v>
      </c>
      <c r="J770" s="49">
        <f t="shared" si="144"/>
        <v>23909.7</v>
      </c>
      <c r="K770" s="62">
        <f>K771</f>
        <v>0</v>
      </c>
      <c r="L770" s="49">
        <f t="shared" si="140"/>
        <v>23909.7</v>
      </c>
      <c r="M770" s="62">
        <f>M771</f>
        <v>0</v>
      </c>
      <c r="N770" s="49">
        <f t="shared" si="143"/>
        <v>23909.7</v>
      </c>
    </row>
    <row r="771" spans="1:14" ht="24.75" customHeight="1" x14ac:dyDescent="0.2">
      <c r="A771" s="50" t="str">
        <f ca="1">IF(ISERROR(MATCH(E771,Код_КВР,0)),"",INDIRECT(ADDRESS(MATCH(E771,Код_КВР,0)+1,2,,,"КВР")))</f>
        <v>Расходы на выплаты персоналу государственных (муниципальных) органов</v>
      </c>
      <c r="B771" s="79" t="s">
        <v>340</v>
      </c>
      <c r="C771" s="65" t="s">
        <v>73</v>
      </c>
      <c r="D771" s="65" t="s">
        <v>61</v>
      </c>
      <c r="E771" s="26">
        <v>120</v>
      </c>
      <c r="F771" s="62">
        <f>'прил. 8'!G629</f>
        <v>23909.7</v>
      </c>
      <c r="G771" s="62">
        <f>'прил. 8'!H629</f>
        <v>0</v>
      </c>
      <c r="H771" s="49">
        <f t="shared" si="150"/>
        <v>23909.7</v>
      </c>
      <c r="I771" s="62">
        <f>'прил. 8'!J629</f>
        <v>0</v>
      </c>
      <c r="J771" s="49">
        <f t="shared" si="144"/>
        <v>23909.7</v>
      </c>
      <c r="K771" s="62">
        <f>'прил. 8'!L629</f>
        <v>0</v>
      </c>
      <c r="L771" s="49">
        <f t="shared" si="140"/>
        <v>23909.7</v>
      </c>
      <c r="M771" s="62">
        <f>'прил. 8'!N629</f>
        <v>0</v>
      </c>
      <c r="N771" s="49">
        <f t="shared" si="143"/>
        <v>23909.7</v>
      </c>
    </row>
    <row r="772" spans="1:14" ht="33" x14ac:dyDescent="0.2">
      <c r="A772" s="50" t="str">
        <f t="shared" ref="A772:A773" ca="1" si="152">IF(ISERROR(MATCH(E772,Код_КВР,0)),"",INDIRECT(ADDRESS(MATCH(E772,Код_КВР,0)+1,2,,,"КВР")))</f>
        <v>Закупка товаров, работ и услуг для обеспечения государственных (муниципальных) нужд</v>
      </c>
      <c r="B772" s="79" t="s">
        <v>340</v>
      </c>
      <c r="C772" s="65" t="s">
        <v>73</v>
      </c>
      <c r="D772" s="65" t="s">
        <v>61</v>
      </c>
      <c r="E772" s="26">
        <v>200</v>
      </c>
      <c r="F772" s="62">
        <f>F773</f>
        <v>15</v>
      </c>
      <c r="G772" s="62">
        <f>G773</f>
        <v>0</v>
      </c>
      <c r="H772" s="49">
        <f t="shared" si="150"/>
        <v>15</v>
      </c>
      <c r="I772" s="62">
        <f>I773</f>
        <v>0</v>
      </c>
      <c r="J772" s="49">
        <f t="shared" si="144"/>
        <v>15</v>
      </c>
      <c r="K772" s="62">
        <f>K773</f>
        <v>0</v>
      </c>
      <c r="L772" s="49">
        <f t="shared" si="140"/>
        <v>15</v>
      </c>
      <c r="M772" s="62">
        <f>M773</f>
        <v>0</v>
      </c>
      <c r="N772" s="49">
        <f t="shared" si="143"/>
        <v>15</v>
      </c>
    </row>
    <row r="773" spans="1:14" ht="33" x14ac:dyDescent="0.2">
      <c r="A773" s="50" t="str">
        <f t="shared" ca="1" si="152"/>
        <v>Иные закупки товаров, работ и услуг для обеспечения государственных (муниципальных) нужд</v>
      </c>
      <c r="B773" s="79" t="s">
        <v>340</v>
      </c>
      <c r="C773" s="65" t="s">
        <v>73</v>
      </c>
      <c r="D773" s="65" t="s">
        <v>61</v>
      </c>
      <c r="E773" s="26">
        <v>240</v>
      </c>
      <c r="F773" s="62">
        <f>'прил. 8'!G631</f>
        <v>15</v>
      </c>
      <c r="G773" s="62">
        <f>'прил. 8'!H631</f>
        <v>0</v>
      </c>
      <c r="H773" s="49">
        <f t="shared" si="150"/>
        <v>15</v>
      </c>
      <c r="I773" s="62">
        <f>'прил. 8'!J631</f>
        <v>0</v>
      </c>
      <c r="J773" s="49">
        <f t="shared" si="144"/>
        <v>15</v>
      </c>
      <c r="K773" s="62">
        <f>'прил. 8'!L631</f>
        <v>0</v>
      </c>
      <c r="L773" s="49">
        <f t="shared" si="140"/>
        <v>15</v>
      </c>
      <c r="M773" s="62">
        <f>'прил. 8'!N631</f>
        <v>0</v>
      </c>
      <c r="N773" s="49">
        <f t="shared" si="143"/>
        <v>15</v>
      </c>
    </row>
    <row r="774" spans="1:14" ht="33" x14ac:dyDescent="0.2">
      <c r="A774" s="50" t="str">
        <f ca="1">IF(ISERROR(MATCH(B774,Код_КЦСР,0)),"",INDIRECT(ADDRESS(MATCH(B774,Код_КЦСР,0)+1,2,,,"КЦСР")))</f>
        <v>Муниципальная программа «Развитие жилищно-коммунального хозяйства города Череповца» на 2014 – 2020 годы</v>
      </c>
      <c r="B774" s="79" t="s">
        <v>341</v>
      </c>
      <c r="C774" s="65"/>
      <c r="D774" s="46"/>
      <c r="E774" s="26"/>
      <c r="F774" s="62">
        <f>F775+F783+F844</f>
        <v>527728.4</v>
      </c>
      <c r="G774" s="62">
        <f>G775+G783+G844</f>
        <v>0</v>
      </c>
      <c r="H774" s="49">
        <f t="shared" si="150"/>
        <v>527728.4</v>
      </c>
      <c r="I774" s="62">
        <f>I775+I783+I844</f>
        <v>0</v>
      </c>
      <c r="J774" s="49">
        <f t="shared" si="144"/>
        <v>527728.4</v>
      </c>
      <c r="K774" s="62">
        <f>K775+K783+K844</f>
        <v>287597.10000000003</v>
      </c>
      <c r="L774" s="49">
        <f t="shared" si="140"/>
        <v>815325.5</v>
      </c>
      <c r="M774" s="62">
        <f>M775+M783+M844</f>
        <v>0</v>
      </c>
      <c r="N774" s="49">
        <f t="shared" si="143"/>
        <v>815325.5</v>
      </c>
    </row>
    <row r="775" spans="1:14" ht="40.5" customHeight="1" x14ac:dyDescent="0.2">
      <c r="A775" s="50" t="str">
        <f ca="1">IF(ISERROR(MATCH(B775,Код_КЦСР,0)),"",INDIRECT(ADDRESS(MATCH(B775,Код_КЦСР,0)+1,2,,,"КЦСР")))</f>
        <v>Организация работ по реализации целей, задач департамента, выполнение его функциональных обязанностей и реализации муниципальной программы</v>
      </c>
      <c r="B775" s="79" t="s">
        <v>354</v>
      </c>
      <c r="C775" s="65"/>
      <c r="D775" s="46"/>
      <c r="E775" s="26"/>
      <c r="F775" s="62">
        <f t="shared" ref="F775:M777" si="153">F776</f>
        <v>19568.2</v>
      </c>
      <c r="G775" s="62">
        <f t="shared" si="153"/>
        <v>0</v>
      </c>
      <c r="H775" s="49">
        <f t="shared" si="150"/>
        <v>19568.2</v>
      </c>
      <c r="I775" s="62">
        <f t="shared" si="153"/>
        <v>0</v>
      </c>
      <c r="J775" s="49">
        <f t="shared" si="144"/>
        <v>19568.2</v>
      </c>
      <c r="K775" s="62">
        <f t="shared" si="153"/>
        <v>65.400000000000006</v>
      </c>
      <c r="L775" s="49">
        <f t="shared" si="140"/>
        <v>19633.600000000002</v>
      </c>
      <c r="M775" s="62">
        <f t="shared" si="153"/>
        <v>0</v>
      </c>
      <c r="N775" s="49">
        <f t="shared" si="143"/>
        <v>19633.600000000002</v>
      </c>
    </row>
    <row r="776" spans="1:14" x14ac:dyDescent="0.2">
      <c r="A776" s="50" t="str">
        <f ca="1">IF(ISERROR(MATCH(B776,Код_КЦСР,0)),"",INDIRECT(ADDRESS(MATCH(B776,Код_КЦСР,0)+1,2,,,"КЦСР")))</f>
        <v>Расходы на обеспечение функций органов местного самоуправления</v>
      </c>
      <c r="B776" s="79" t="s">
        <v>355</v>
      </c>
      <c r="C776" s="65"/>
      <c r="D776" s="46"/>
      <c r="E776" s="26"/>
      <c r="F776" s="62">
        <f t="shared" si="153"/>
        <v>19568.2</v>
      </c>
      <c r="G776" s="62">
        <f t="shared" si="153"/>
        <v>0</v>
      </c>
      <c r="H776" s="49">
        <f t="shared" si="150"/>
        <v>19568.2</v>
      </c>
      <c r="I776" s="62">
        <f t="shared" si="153"/>
        <v>0</v>
      </c>
      <c r="J776" s="49">
        <f t="shared" si="144"/>
        <v>19568.2</v>
      </c>
      <c r="K776" s="62">
        <f t="shared" si="153"/>
        <v>65.400000000000006</v>
      </c>
      <c r="L776" s="49">
        <f t="shared" si="140"/>
        <v>19633.600000000002</v>
      </c>
      <c r="M776" s="62">
        <f t="shared" si="153"/>
        <v>0</v>
      </c>
      <c r="N776" s="49">
        <f t="shared" si="143"/>
        <v>19633.600000000002</v>
      </c>
    </row>
    <row r="777" spans="1:14" x14ac:dyDescent="0.2">
      <c r="A777" s="50" t="str">
        <f ca="1">IF(ISERROR(MATCH(C777,Код_Раздел,0)),"",INDIRECT(ADDRESS(MATCH(C777,Код_Раздел,0)+1,2,,,"Раздел")))</f>
        <v>Жилищно-коммунальное хозяйство</v>
      </c>
      <c r="B777" s="79" t="s">
        <v>355</v>
      </c>
      <c r="C777" s="65" t="s">
        <v>78</v>
      </c>
      <c r="D777" s="46"/>
      <c r="E777" s="26"/>
      <c r="F777" s="62">
        <f t="shared" si="153"/>
        <v>19568.2</v>
      </c>
      <c r="G777" s="62">
        <f t="shared" si="153"/>
        <v>0</v>
      </c>
      <c r="H777" s="49">
        <f t="shared" si="150"/>
        <v>19568.2</v>
      </c>
      <c r="I777" s="62">
        <f t="shared" si="153"/>
        <v>0</v>
      </c>
      <c r="J777" s="49">
        <f t="shared" si="144"/>
        <v>19568.2</v>
      </c>
      <c r="K777" s="62">
        <f t="shared" si="153"/>
        <v>65.400000000000006</v>
      </c>
      <c r="L777" s="49">
        <f t="shared" si="140"/>
        <v>19633.600000000002</v>
      </c>
      <c r="M777" s="62">
        <f t="shared" si="153"/>
        <v>0</v>
      </c>
      <c r="N777" s="49">
        <f t="shared" si="143"/>
        <v>19633.600000000002</v>
      </c>
    </row>
    <row r="778" spans="1:14" x14ac:dyDescent="0.2">
      <c r="A778" s="45" t="s">
        <v>35</v>
      </c>
      <c r="B778" s="79" t="s">
        <v>355</v>
      </c>
      <c r="C778" s="65" t="s">
        <v>78</v>
      </c>
      <c r="D778" s="65" t="s">
        <v>78</v>
      </c>
      <c r="E778" s="26"/>
      <c r="F778" s="62">
        <f>F779+F781</f>
        <v>19568.2</v>
      </c>
      <c r="G778" s="62">
        <f>G779+G781</f>
        <v>0</v>
      </c>
      <c r="H778" s="49">
        <f t="shared" si="150"/>
        <v>19568.2</v>
      </c>
      <c r="I778" s="62">
        <f>I779+I781</f>
        <v>0</v>
      </c>
      <c r="J778" s="49">
        <f t="shared" si="144"/>
        <v>19568.2</v>
      </c>
      <c r="K778" s="62">
        <f>K779+K781</f>
        <v>65.400000000000006</v>
      </c>
      <c r="L778" s="49">
        <f t="shared" si="140"/>
        <v>19633.600000000002</v>
      </c>
      <c r="M778" s="62">
        <f>M779+M781</f>
        <v>0</v>
      </c>
      <c r="N778" s="49">
        <f t="shared" si="143"/>
        <v>19633.600000000002</v>
      </c>
    </row>
    <row r="779" spans="1:14" ht="49.5" x14ac:dyDescent="0.2">
      <c r="A779" s="50" t="str">
        <f t="shared" ref="A779:A782" ca="1" si="154">IF(ISERROR(MATCH(E779,Код_КВР,0)),"",INDIRECT(ADDRESS(MATCH(E779,Код_КВР,0)+1,2,,,"КВР")))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79" s="79" t="s">
        <v>355</v>
      </c>
      <c r="C779" s="65" t="s">
        <v>78</v>
      </c>
      <c r="D779" s="65" t="s">
        <v>78</v>
      </c>
      <c r="E779" s="26">
        <v>100</v>
      </c>
      <c r="F779" s="62">
        <f>F780</f>
        <v>19553.2</v>
      </c>
      <c r="G779" s="62">
        <f>G780</f>
        <v>0</v>
      </c>
      <c r="H779" s="49">
        <f t="shared" si="150"/>
        <v>19553.2</v>
      </c>
      <c r="I779" s="62">
        <f>I780</f>
        <v>0</v>
      </c>
      <c r="J779" s="49">
        <f t="shared" si="144"/>
        <v>19553.2</v>
      </c>
      <c r="K779" s="62">
        <f>K780</f>
        <v>0</v>
      </c>
      <c r="L779" s="49">
        <f t="shared" si="140"/>
        <v>19553.2</v>
      </c>
      <c r="M779" s="62">
        <f>M780</f>
        <v>0</v>
      </c>
      <c r="N779" s="49">
        <f t="shared" si="143"/>
        <v>19553.2</v>
      </c>
    </row>
    <row r="780" spans="1:14" ht="23.25" customHeight="1" x14ac:dyDescent="0.2">
      <c r="A780" s="50" t="str">
        <f t="shared" ca="1" si="154"/>
        <v>Расходы на выплаты персоналу государственных (муниципальных) органов</v>
      </c>
      <c r="B780" s="79" t="s">
        <v>355</v>
      </c>
      <c r="C780" s="65" t="s">
        <v>78</v>
      </c>
      <c r="D780" s="65" t="s">
        <v>78</v>
      </c>
      <c r="E780" s="26">
        <v>120</v>
      </c>
      <c r="F780" s="62">
        <f>'прил. 8'!G588</f>
        <v>19553.2</v>
      </c>
      <c r="G780" s="62">
        <f>'прил. 8'!H588</f>
        <v>0</v>
      </c>
      <c r="H780" s="49">
        <f t="shared" si="150"/>
        <v>19553.2</v>
      </c>
      <c r="I780" s="62">
        <f>'прил. 8'!J588</f>
        <v>0</v>
      </c>
      <c r="J780" s="49">
        <f t="shared" si="144"/>
        <v>19553.2</v>
      </c>
      <c r="K780" s="62">
        <f>'прил. 8'!L588</f>
        <v>0</v>
      </c>
      <c r="L780" s="49">
        <f t="shared" si="140"/>
        <v>19553.2</v>
      </c>
      <c r="M780" s="62">
        <f>'прил. 8'!N588</f>
        <v>0</v>
      </c>
      <c r="N780" s="49">
        <f t="shared" si="143"/>
        <v>19553.2</v>
      </c>
    </row>
    <row r="781" spans="1:14" ht="33" x14ac:dyDescent="0.2">
      <c r="A781" s="50" t="str">
        <f t="shared" ca="1" si="154"/>
        <v>Закупка товаров, работ и услуг для обеспечения государственных (муниципальных) нужд</v>
      </c>
      <c r="B781" s="79" t="s">
        <v>355</v>
      </c>
      <c r="C781" s="65" t="s">
        <v>78</v>
      </c>
      <c r="D781" s="65" t="s">
        <v>78</v>
      </c>
      <c r="E781" s="26">
        <v>200</v>
      </c>
      <c r="F781" s="62">
        <f>F782</f>
        <v>15</v>
      </c>
      <c r="G781" s="62">
        <f>G782</f>
        <v>0</v>
      </c>
      <c r="H781" s="49">
        <f t="shared" si="150"/>
        <v>15</v>
      </c>
      <c r="I781" s="62">
        <f>I782</f>
        <v>0</v>
      </c>
      <c r="J781" s="49">
        <f t="shared" si="144"/>
        <v>15</v>
      </c>
      <c r="K781" s="62">
        <f>K782</f>
        <v>65.400000000000006</v>
      </c>
      <c r="L781" s="49">
        <f t="shared" si="140"/>
        <v>80.400000000000006</v>
      </c>
      <c r="M781" s="62">
        <f>M782</f>
        <v>0</v>
      </c>
      <c r="N781" s="49">
        <f t="shared" si="143"/>
        <v>80.400000000000006</v>
      </c>
    </row>
    <row r="782" spans="1:14" ht="33" x14ac:dyDescent="0.2">
      <c r="A782" s="50" t="str">
        <f t="shared" ca="1" si="154"/>
        <v>Иные закупки товаров, работ и услуг для обеспечения государственных (муниципальных) нужд</v>
      </c>
      <c r="B782" s="79" t="s">
        <v>355</v>
      </c>
      <c r="C782" s="65" t="s">
        <v>78</v>
      </c>
      <c r="D782" s="65" t="s">
        <v>78</v>
      </c>
      <c r="E782" s="26">
        <v>240</v>
      </c>
      <c r="F782" s="62">
        <f>'прил. 8'!G590</f>
        <v>15</v>
      </c>
      <c r="G782" s="62">
        <f>'прил. 8'!H590</f>
        <v>0</v>
      </c>
      <c r="H782" s="49">
        <f t="shared" si="150"/>
        <v>15</v>
      </c>
      <c r="I782" s="62">
        <f>'прил. 8'!J590</f>
        <v>0</v>
      </c>
      <c r="J782" s="49">
        <f t="shared" si="144"/>
        <v>15</v>
      </c>
      <c r="K782" s="62">
        <f>'прил. 8'!L590</f>
        <v>65.400000000000006</v>
      </c>
      <c r="L782" s="49">
        <f t="shared" si="140"/>
        <v>80.400000000000006</v>
      </c>
      <c r="M782" s="62">
        <f>'прил. 8'!N590</f>
        <v>0</v>
      </c>
      <c r="N782" s="49">
        <f t="shared" si="143"/>
        <v>80.400000000000006</v>
      </c>
    </row>
    <row r="783" spans="1:14" x14ac:dyDescent="0.2">
      <c r="A783" s="50" t="str">
        <f ca="1">IF(ISERROR(MATCH(B783,Код_КЦСР,0)),"",INDIRECT(ADDRESS(MATCH(B783,Код_КЦСР,0)+1,2,,,"КЦСР")))</f>
        <v>Развитие благоустройства города</v>
      </c>
      <c r="B783" s="79" t="s">
        <v>342</v>
      </c>
      <c r="C783" s="65"/>
      <c r="D783" s="65"/>
      <c r="E783" s="26"/>
      <c r="F783" s="62">
        <f>F784+F791+F812+F821+F827+F833+F838</f>
        <v>472692.89999999997</v>
      </c>
      <c r="G783" s="62">
        <f>G784+G791+G812+G821+G827+G833+G838</f>
        <v>0</v>
      </c>
      <c r="H783" s="49">
        <f t="shared" si="150"/>
        <v>472692.89999999997</v>
      </c>
      <c r="I783" s="62">
        <f>I784+I791+I812+I821+I827+I833+I838</f>
        <v>1.1000000000000001</v>
      </c>
      <c r="J783" s="49">
        <f t="shared" si="144"/>
        <v>472693.99999999994</v>
      </c>
      <c r="K783" s="62">
        <f>K784+K791+K812+K821+K827+K833+K838</f>
        <v>282003.40000000002</v>
      </c>
      <c r="L783" s="49">
        <f t="shared" si="140"/>
        <v>754697.39999999991</v>
      </c>
      <c r="M783" s="62">
        <f>M784+M791+M812+M821+M827+M833+M838</f>
        <v>65.700000000000045</v>
      </c>
      <c r="N783" s="49">
        <f t="shared" si="143"/>
        <v>754763.09999999986</v>
      </c>
    </row>
    <row r="784" spans="1:14" ht="33" x14ac:dyDescent="0.2">
      <c r="A784" s="50" t="str">
        <f ca="1">IF(ISERROR(MATCH(B784,Код_КЦСР,0)),"",INDIRECT(ADDRESS(MATCH(B784,Код_КЦСР,0)+1,2,,,"КЦСР")))</f>
        <v>Мероприятия по благоустройству и повышению внешней привлекательности города</v>
      </c>
      <c r="B784" s="79" t="s">
        <v>343</v>
      </c>
      <c r="C784" s="65"/>
      <c r="D784" s="46"/>
      <c r="E784" s="26"/>
      <c r="F784" s="62">
        <f>F785</f>
        <v>147656.19999999998</v>
      </c>
      <c r="G784" s="62">
        <f>G785</f>
        <v>0</v>
      </c>
      <c r="H784" s="49">
        <f t="shared" si="150"/>
        <v>147656.19999999998</v>
      </c>
      <c r="I784" s="62">
        <f>I785</f>
        <v>0</v>
      </c>
      <c r="J784" s="49">
        <f t="shared" si="144"/>
        <v>147656.19999999998</v>
      </c>
      <c r="K784" s="62">
        <f>K785</f>
        <v>2499.8000000000002</v>
      </c>
      <c r="L784" s="49">
        <f t="shared" si="140"/>
        <v>150155.99999999997</v>
      </c>
      <c r="M784" s="62">
        <f>M785</f>
        <v>-898.1</v>
      </c>
      <c r="N784" s="49">
        <f t="shared" si="143"/>
        <v>149257.89999999997</v>
      </c>
    </row>
    <row r="785" spans="1:14" x14ac:dyDescent="0.2">
      <c r="A785" s="50" t="str">
        <f ca="1">IF(ISERROR(MATCH(C785,Код_Раздел,0)),"",INDIRECT(ADDRESS(MATCH(C785,Код_Раздел,0)+1,2,,,"Раздел")))</f>
        <v>Жилищно-коммунальное хозяйство</v>
      </c>
      <c r="B785" s="79" t="s">
        <v>343</v>
      </c>
      <c r="C785" s="65" t="s">
        <v>78</v>
      </c>
      <c r="D785" s="46"/>
      <c r="E785" s="26"/>
      <c r="F785" s="62">
        <f t="shared" ref="F785:M785" si="155">F786</f>
        <v>147656.19999999998</v>
      </c>
      <c r="G785" s="62">
        <f t="shared" si="155"/>
        <v>0</v>
      </c>
      <c r="H785" s="49">
        <f t="shared" si="150"/>
        <v>147656.19999999998</v>
      </c>
      <c r="I785" s="62">
        <f t="shared" si="155"/>
        <v>0</v>
      </c>
      <c r="J785" s="49">
        <f t="shared" si="144"/>
        <v>147656.19999999998</v>
      </c>
      <c r="K785" s="62">
        <f t="shared" si="155"/>
        <v>2499.8000000000002</v>
      </c>
      <c r="L785" s="49">
        <f t="shared" si="140"/>
        <v>150155.99999999997</v>
      </c>
      <c r="M785" s="62">
        <f t="shared" si="155"/>
        <v>-898.1</v>
      </c>
      <c r="N785" s="49">
        <f t="shared" si="143"/>
        <v>149257.89999999997</v>
      </c>
    </row>
    <row r="786" spans="1:14" x14ac:dyDescent="0.2">
      <c r="A786" s="50" t="s">
        <v>104</v>
      </c>
      <c r="B786" s="79" t="s">
        <v>343</v>
      </c>
      <c r="C786" s="65" t="s">
        <v>78</v>
      </c>
      <c r="D786" s="65" t="s">
        <v>72</v>
      </c>
      <c r="E786" s="26"/>
      <c r="F786" s="62">
        <f>F787+F789</f>
        <v>147656.19999999998</v>
      </c>
      <c r="G786" s="62">
        <f>G787+G789</f>
        <v>0</v>
      </c>
      <c r="H786" s="49">
        <f t="shared" si="150"/>
        <v>147656.19999999998</v>
      </c>
      <c r="I786" s="62">
        <f>I787+I789</f>
        <v>0</v>
      </c>
      <c r="J786" s="49">
        <f t="shared" si="144"/>
        <v>147656.19999999998</v>
      </c>
      <c r="K786" s="62">
        <f>K787+K789</f>
        <v>2499.8000000000002</v>
      </c>
      <c r="L786" s="49">
        <f t="shared" si="140"/>
        <v>150155.99999999997</v>
      </c>
      <c r="M786" s="62">
        <f>M787+M789</f>
        <v>-898.1</v>
      </c>
      <c r="N786" s="49">
        <f t="shared" ref="N786:N849" si="156">L786+M786</f>
        <v>149257.89999999997</v>
      </c>
    </row>
    <row r="787" spans="1:14" ht="33" x14ac:dyDescent="0.2">
      <c r="A787" s="50" t="str">
        <f ca="1">IF(ISERROR(MATCH(E787,Код_КВР,0)),"",INDIRECT(ADDRESS(MATCH(E787,Код_КВР,0)+1,2,,,"КВР")))</f>
        <v>Закупка товаров, работ и услуг для обеспечения государственных (муниципальных) нужд</v>
      </c>
      <c r="B787" s="79" t="s">
        <v>343</v>
      </c>
      <c r="C787" s="65" t="s">
        <v>78</v>
      </c>
      <c r="D787" s="65" t="s">
        <v>72</v>
      </c>
      <c r="E787" s="26">
        <v>200</v>
      </c>
      <c r="F787" s="62">
        <f>F788</f>
        <v>118069.4</v>
      </c>
      <c r="G787" s="62">
        <f>G788</f>
        <v>0</v>
      </c>
      <c r="H787" s="49">
        <f t="shared" si="150"/>
        <v>118069.4</v>
      </c>
      <c r="I787" s="62">
        <f>I788</f>
        <v>0</v>
      </c>
      <c r="J787" s="49">
        <f t="shared" si="144"/>
        <v>118069.4</v>
      </c>
      <c r="K787" s="62">
        <f>K788</f>
        <v>2499.8000000000002</v>
      </c>
      <c r="L787" s="49">
        <f t="shared" si="140"/>
        <v>120569.2</v>
      </c>
      <c r="M787" s="62">
        <f>M788</f>
        <v>-898.1</v>
      </c>
      <c r="N787" s="49">
        <f t="shared" si="156"/>
        <v>119671.09999999999</v>
      </c>
    </row>
    <row r="788" spans="1:14" ht="33" x14ac:dyDescent="0.2">
      <c r="A788" s="50" t="str">
        <f ca="1">IF(ISERROR(MATCH(E788,Код_КВР,0)),"",INDIRECT(ADDRESS(MATCH(E788,Код_КВР,0)+1,2,,,"КВР")))</f>
        <v>Иные закупки товаров, работ и услуг для обеспечения государственных (муниципальных) нужд</v>
      </c>
      <c r="B788" s="79" t="s">
        <v>343</v>
      </c>
      <c r="C788" s="65" t="s">
        <v>78</v>
      </c>
      <c r="D788" s="65" t="s">
        <v>72</v>
      </c>
      <c r="E788" s="26">
        <v>240</v>
      </c>
      <c r="F788" s="62">
        <f>'прил. 8'!G580</f>
        <v>118069.4</v>
      </c>
      <c r="G788" s="62">
        <f>'прил. 8'!H580</f>
        <v>0</v>
      </c>
      <c r="H788" s="49">
        <f t="shared" si="150"/>
        <v>118069.4</v>
      </c>
      <c r="I788" s="62">
        <f>'прил. 8'!J580</f>
        <v>0</v>
      </c>
      <c r="J788" s="49">
        <f t="shared" si="144"/>
        <v>118069.4</v>
      </c>
      <c r="K788" s="62">
        <f>'прил. 8'!L580</f>
        <v>2499.8000000000002</v>
      </c>
      <c r="L788" s="49">
        <f t="shared" ref="L788:L851" si="157">J788+K788</f>
        <v>120569.2</v>
      </c>
      <c r="M788" s="62">
        <f>'прил. 8'!N580</f>
        <v>-898.1</v>
      </c>
      <c r="N788" s="49">
        <f t="shared" si="156"/>
        <v>119671.09999999999</v>
      </c>
    </row>
    <row r="789" spans="1:14" x14ac:dyDescent="0.2">
      <c r="A789" s="50" t="str">
        <f ca="1">IF(ISERROR(MATCH(E789,Код_КВР,0)),"",INDIRECT(ADDRESS(MATCH(E789,Код_КВР,0)+1,2,,,"КВР")))</f>
        <v>Иные бюджетные ассигнования</v>
      </c>
      <c r="B789" s="79" t="s">
        <v>343</v>
      </c>
      <c r="C789" s="65" t="s">
        <v>78</v>
      </c>
      <c r="D789" s="65" t="s">
        <v>72</v>
      </c>
      <c r="E789" s="26">
        <v>800</v>
      </c>
      <c r="F789" s="62">
        <f>F790</f>
        <v>29586.799999999999</v>
      </c>
      <c r="G789" s="62">
        <f>G790</f>
        <v>0</v>
      </c>
      <c r="H789" s="49">
        <f t="shared" si="150"/>
        <v>29586.799999999999</v>
      </c>
      <c r="I789" s="62">
        <f>I790</f>
        <v>0</v>
      </c>
      <c r="J789" s="49">
        <f t="shared" si="144"/>
        <v>29586.799999999999</v>
      </c>
      <c r="K789" s="62">
        <f>K790</f>
        <v>0</v>
      </c>
      <c r="L789" s="49">
        <f t="shared" si="157"/>
        <v>29586.799999999999</v>
      </c>
      <c r="M789" s="62">
        <f>M790</f>
        <v>0</v>
      </c>
      <c r="N789" s="49">
        <f t="shared" si="156"/>
        <v>29586.799999999999</v>
      </c>
    </row>
    <row r="790" spans="1:14" ht="49.5" x14ac:dyDescent="0.2">
      <c r="A790" s="50" t="str">
        <f ca="1">IF(ISERROR(MATCH(E790,Код_КВР,0)),"",INDIRECT(ADDRESS(MATCH(E790,Код_КВР,0)+1,2,,,"КВР")))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790" s="79" t="s">
        <v>343</v>
      </c>
      <c r="C790" s="65" t="s">
        <v>78</v>
      </c>
      <c r="D790" s="65" t="s">
        <v>72</v>
      </c>
      <c r="E790" s="26">
        <v>810</v>
      </c>
      <c r="F790" s="62">
        <f>'прил. 8'!G582</f>
        <v>29586.799999999999</v>
      </c>
      <c r="G790" s="62">
        <f>'прил. 8'!H582</f>
        <v>0</v>
      </c>
      <c r="H790" s="49">
        <f t="shared" si="150"/>
        <v>29586.799999999999</v>
      </c>
      <c r="I790" s="62">
        <f>'прил. 8'!J582</f>
        <v>0</v>
      </c>
      <c r="J790" s="49">
        <f t="shared" si="144"/>
        <v>29586.799999999999</v>
      </c>
      <c r="K790" s="62">
        <f>'прил. 8'!L582</f>
        <v>0</v>
      </c>
      <c r="L790" s="49">
        <f t="shared" si="157"/>
        <v>29586.799999999999</v>
      </c>
      <c r="M790" s="62">
        <f>'прил. 8'!N582</f>
        <v>0</v>
      </c>
      <c r="N790" s="49">
        <f t="shared" si="156"/>
        <v>29586.799999999999</v>
      </c>
    </row>
    <row r="791" spans="1:14" x14ac:dyDescent="0.2">
      <c r="A791" s="50" t="str">
        <f ca="1">IF(ISERROR(MATCH(B791,Код_КЦСР,0)),"",INDIRECT(ADDRESS(MATCH(B791,Код_КЦСР,0)+1,2,,,"КЦСР")))</f>
        <v>Мероприятия по содержанию и ремонту улично-дорожной сети города</v>
      </c>
      <c r="B791" s="79" t="s">
        <v>344</v>
      </c>
      <c r="C791" s="65"/>
      <c r="D791" s="46"/>
      <c r="E791" s="26"/>
      <c r="F791" s="62">
        <f>F792+F802+F807</f>
        <v>323800.90000000002</v>
      </c>
      <c r="G791" s="62">
        <f>G792+G802+G807</f>
        <v>0</v>
      </c>
      <c r="H791" s="49">
        <f t="shared" si="150"/>
        <v>323800.90000000002</v>
      </c>
      <c r="I791" s="62">
        <f>I792+I802+I807</f>
        <v>1.1000000000000001</v>
      </c>
      <c r="J791" s="49">
        <f t="shared" si="144"/>
        <v>323802</v>
      </c>
      <c r="K791" s="62">
        <f>K792+K802+K807</f>
        <v>180.6</v>
      </c>
      <c r="L791" s="49">
        <f t="shared" si="157"/>
        <v>323982.59999999998</v>
      </c>
      <c r="M791" s="62">
        <f>M792+M802+M807</f>
        <v>963.80000000000007</v>
      </c>
      <c r="N791" s="49">
        <f t="shared" si="156"/>
        <v>324946.39999999997</v>
      </c>
    </row>
    <row r="792" spans="1:14" ht="35.25" customHeight="1" x14ac:dyDescent="0.2">
      <c r="A792" s="50" t="str">
        <f ca="1">IF(ISERROR(MATCH(B792,Код_КЦСР,0)),"",INDIRECT(ADDRESS(MATCH(B792,Код_КЦСР,0)+1,2,,,"КЦСР")))</f>
        <v>Мероприятия по содержанию и ремонту улично-дорожной сети города, за счет средств городского бюджета</v>
      </c>
      <c r="B792" s="79" t="s">
        <v>640</v>
      </c>
      <c r="C792" s="65"/>
      <c r="D792" s="46"/>
      <c r="E792" s="26"/>
      <c r="F792" s="62">
        <f>F793</f>
        <v>293931.5</v>
      </c>
      <c r="G792" s="62">
        <f>G793</f>
        <v>0</v>
      </c>
      <c r="H792" s="49">
        <f t="shared" si="150"/>
        <v>293931.5</v>
      </c>
      <c r="I792" s="62">
        <f>I793</f>
        <v>1.1000000000000001</v>
      </c>
      <c r="J792" s="49">
        <f t="shared" si="144"/>
        <v>293932.59999999998</v>
      </c>
      <c r="K792" s="62">
        <f>K793</f>
        <v>180.6</v>
      </c>
      <c r="L792" s="49">
        <f t="shared" si="157"/>
        <v>294113.19999999995</v>
      </c>
      <c r="M792" s="62">
        <f>M793</f>
        <v>963.80000000000007</v>
      </c>
      <c r="N792" s="49">
        <f t="shared" si="156"/>
        <v>295076.99999999994</v>
      </c>
    </row>
    <row r="793" spans="1:14" x14ac:dyDescent="0.2">
      <c r="A793" s="50" t="str">
        <f ca="1">IF(ISERROR(MATCH(C793,Код_Раздел,0)),"",INDIRECT(ADDRESS(MATCH(C793,Код_Раздел,0)+1,2,,,"Раздел")))</f>
        <v>Национальная экономика</v>
      </c>
      <c r="B793" s="79" t="s">
        <v>640</v>
      </c>
      <c r="C793" s="65" t="s">
        <v>73</v>
      </c>
      <c r="D793" s="46"/>
      <c r="E793" s="26"/>
      <c r="F793" s="62">
        <f>F794</f>
        <v>293931.5</v>
      </c>
      <c r="G793" s="62">
        <f>G794</f>
        <v>0</v>
      </c>
      <c r="H793" s="49">
        <f t="shared" si="150"/>
        <v>293931.5</v>
      </c>
      <c r="I793" s="62">
        <f>I794</f>
        <v>1.1000000000000001</v>
      </c>
      <c r="J793" s="49">
        <f t="shared" si="144"/>
        <v>293932.59999999998</v>
      </c>
      <c r="K793" s="62">
        <f>K794</f>
        <v>180.6</v>
      </c>
      <c r="L793" s="49">
        <f t="shared" si="157"/>
        <v>294113.19999999995</v>
      </c>
      <c r="M793" s="62">
        <f>M794</f>
        <v>963.80000000000007</v>
      </c>
      <c r="N793" s="49">
        <f t="shared" si="156"/>
        <v>295076.99999999994</v>
      </c>
    </row>
    <row r="794" spans="1:14" x14ac:dyDescent="0.2">
      <c r="A794" s="51" t="s">
        <v>45</v>
      </c>
      <c r="B794" s="79" t="s">
        <v>640</v>
      </c>
      <c r="C794" s="65" t="s">
        <v>73</v>
      </c>
      <c r="D794" s="65" t="s">
        <v>76</v>
      </c>
      <c r="E794" s="26"/>
      <c r="F794" s="62">
        <f>F795+F797+F799</f>
        <v>293931.5</v>
      </c>
      <c r="G794" s="62">
        <f>G795+G797+G799</f>
        <v>0</v>
      </c>
      <c r="H794" s="49">
        <f t="shared" si="150"/>
        <v>293931.5</v>
      </c>
      <c r="I794" s="62">
        <f>I795+I797+I799</f>
        <v>1.1000000000000001</v>
      </c>
      <c r="J794" s="49">
        <f t="shared" si="144"/>
        <v>293932.59999999998</v>
      </c>
      <c r="K794" s="62">
        <f>K795+K797+K799</f>
        <v>180.6</v>
      </c>
      <c r="L794" s="49">
        <f t="shared" si="157"/>
        <v>294113.19999999995</v>
      </c>
      <c r="M794" s="62">
        <f>M795+M797+M799</f>
        <v>963.80000000000007</v>
      </c>
      <c r="N794" s="49">
        <f t="shared" si="156"/>
        <v>295076.99999999994</v>
      </c>
    </row>
    <row r="795" spans="1:14" ht="49.5" x14ac:dyDescent="0.2">
      <c r="A795" s="50" t="str">
        <f t="shared" ref="A795:A801" ca="1" si="158">IF(ISERROR(MATCH(E795,Код_КВР,0)),"",INDIRECT(ADDRESS(MATCH(E795,Код_КВР,0)+1,2,,,"КВР")))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95" s="79" t="s">
        <v>640</v>
      </c>
      <c r="C795" s="65" t="s">
        <v>73</v>
      </c>
      <c r="D795" s="65" t="s">
        <v>76</v>
      </c>
      <c r="E795" s="26">
        <v>100</v>
      </c>
      <c r="F795" s="62">
        <f>F796</f>
        <v>14034.099999999999</v>
      </c>
      <c r="G795" s="62">
        <f>G796</f>
        <v>0</v>
      </c>
      <c r="H795" s="49">
        <f t="shared" si="150"/>
        <v>14034.099999999999</v>
      </c>
      <c r="I795" s="62">
        <f>I796</f>
        <v>0</v>
      </c>
      <c r="J795" s="49">
        <f t="shared" si="144"/>
        <v>14034.099999999999</v>
      </c>
      <c r="K795" s="62">
        <f>K796</f>
        <v>0</v>
      </c>
      <c r="L795" s="49">
        <f t="shared" si="157"/>
        <v>14034.099999999999</v>
      </c>
      <c r="M795" s="62">
        <f>M796</f>
        <v>0</v>
      </c>
      <c r="N795" s="49">
        <f t="shared" si="156"/>
        <v>14034.099999999999</v>
      </c>
    </row>
    <row r="796" spans="1:14" x14ac:dyDescent="0.2">
      <c r="A796" s="50" t="str">
        <f t="shared" ca="1" si="158"/>
        <v>Расходы на выплаты персоналу казенных учреждений</v>
      </c>
      <c r="B796" s="79" t="s">
        <v>640</v>
      </c>
      <c r="C796" s="65" t="s">
        <v>73</v>
      </c>
      <c r="D796" s="65" t="s">
        <v>76</v>
      </c>
      <c r="E796" s="26">
        <v>110</v>
      </c>
      <c r="F796" s="62">
        <f>'прил. 8'!G509</f>
        <v>14034.099999999999</v>
      </c>
      <c r="G796" s="62">
        <f>'прил. 8'!H509</f>
        <v>0</v>
      </c>
      <c r="H796" s="49">
        <f t="shared" si="150"/>
        <v>14034.099999999999</v>
      </c>
      <c r="I796" s="62">
        <f>'прил. 8'!J509</f>
        <v>0</v>
      </c>
      <c r="J796" s="49">
        <f t="shared" si="144"/>
        <v>14034.099999999999</v>
      </c>
      <c r="K796" s="62">
        <f>'прил. 8'!L509</f>
        <v>0</v>
      </c>
      <c r="L796" s="49">
        <f t="shared" si="157"/>
        <v>14034.099999999999</v>
      </c>
      <c r="M796" s="62">
        <f>'прил. 8'!N509</f>
        <v>0</v>
      </c>
      <c r="N796" s="49">
        <f t="shared" si="156"/>
        <v>14034.099999999999</v>
      </c>
    </row>
    <row r="797" spans="1:14" ht="33" x14ac:dyDescent="0.2">
      <c r="A797" s="50" t="str">
        <f t="shared" ca="1" si="158"/>
        <v>Закупка товаров, работ и услуг для обеспечения государственных (муниципальных) нужд</v>
      </c>
      <c r="B797" s="79" t="s">
        <v>640</v>
      </c>
      <c r="C797" s="65" t="s">
        <v>73</v>
      </c>
      <c r="D797" s="65" t="s">
        <v>76</v>
      </c>
      <c r="E797" s="26">
        <v>200</v>
      </c>
      <c r="F797" s="62">
        <f>F798</f>
        <v>279886.5</v>
      </c>
      <c r="G797" s="62">
        <f>G798</f>
        <v>0</v>
      </c>
      <c r="H797" s="49">
        <f t="shared" si="150"/>
        <v>279886.5</v>
      </c>
      <c r="I797" s="62">
        <f>I798</f>
        <v>0</v>
      </c>
      <c r="J797" s="49">
        <f t="shared" si="144"/>
        <v>279886.5</v>
      </c>
      <c r="K797" s="62">
        <f>K798</f>
        <v>0</v>
      </c>
      <c r="L797" s="49">
        <f t="shared" si="157"/>
        <v>279886.5</v>
      </c>
      <c r="M797" s="62">
        <f>M798</f>
        <v>898.1</v>
      </c>
      <c r="N797" s="49">
        <f t="shared" si="156"/>
        <v>280784.59999999998</v>
      </c>
    </row>
    <row r="798" spans="1:14" ht="33" x14ac:dyDescent="0.2">
      <c r="A798" s="50" t="str">
        <f t="shared" ca="1" si="158"/>
        <v>Иные закупки товаров, работ и услуг для обеспечения государственных (муниципальных) нужд</v>
      </c>
      <c r="B798" s="79" t="s">
        <v>640</v>
      </c>
      <c r="C798" s="65" t="s">
        <v>73</v>
      </c>
      <c r="D798" s="65" t="s">
        <v>76</v>
      </c>
      <c r="E798" s="26">
        <v>240</v>
      </c>
      <c r="F798" s="62">
        <f>'прил. 8'!G511</f>
        <v>279886.5</v>
      </c>
      <c r="G798" s="62">
        <f>'прил. 8'!H511</f>
        <v>0</v>
      </c>
      <c r="H798" s="49">
        <f t="shared" si="150"/>
        <v>279886.5</v>
      </c>
      <c r="I798" s="62">
        <f>'прил. 8'!J511</f>
        <v>0</v>
      </c>
      <c r="J798" s="49">
        <f t="shared" si="144"/>
        <v>279886.5</v>
      </c>
      <c r="K798" s="62">
        <f>'прил. 8'!L511</f>
        <v>0</v>
      </c>
      <c r="L798" s="49">
        <f t="shared" si="157"/>
        <v>279886.5</v>
      </c>
      <c r="M798" s="62">
        <f>'прил. 8'!N511</f>
        <v>898.1</v>
      </c>
      <c r="N798" s="49">
        <f t="shared" si="156"/>
        <v>280784.59999999998</v>
      </c>
    </row>
    <row r="799" spans="1:14" x14ac:dyDescent="0.2">
      <c r="A799" s="50" t="str">
        <f t="shared" ca="1" si="158"/>
        <v>Иные бюджетные ассигнования</v>
      </c>
      <c r="B799" s="79" t="s">
        <v>640</v>
      </c>
      <c r="C799" s="65" t="s">
        <v>73</v>
      </c>
      <c r="D799" s="65" t="s">
        <v>76</v>
      </c>
      <c r="E799" s="26">
        <v>800</v>
      </c>
      <c r="F799" s="62">
        <f>F801</f>
        <v>10.9</v>
      </c>
      <c r="G799" s="62">
        <f>G801</f>
        <v>0</v>
      </c>
      <c r="H799" s="49">
        <f t="shared" si="150"/>
        <v>10.9</v>
      </c>
      <c r="I799" s="62">
        <f>I801+I800</f>
        <v>1.1000000000000001</v>
      </c>
      <c r="J799" s="49">
        <f t="shared" ref="J799:J862" si="159">H799+I799</f>
        <v>12</v>
      </c>
      <c r="K799" s="62">
        <f>K801+K800</f>
        <v>180.6</v>
      </c>
      <c r="L799" s="49">
        <f t="shared" si="157"/>
        <v>192.6</v>
      </c>
      <c r="M799" s="62">
        <f>M801+M800</f>
        <v>65.7</v>
      </c>
      <c r="N799" s="49">
        <f t="shared" si="156"/>
        <v>258.3</v>
      </c>
    </row>
    <row r="800" spans="1:14" x14ac:dyDescent="0.2">
      <c r="A800" s="50" t="str">
        <f t="shared" ref="A800" ca="1" si="160">IF(ISERROR(MATCH(E800,Код_КВР,0)),"",INDIRECT(ADDRESS(MATCH(E800,Код_КВР,0)+1,2,,,"КВР")))</f>
        <v>Исполнение судебных актов</v>
      </c>
      <c r="B800" s="79" t="s">
        <v>640</v>
      </c>
      <c r="C800" s="65" t="s">
        <v>73</v>
      </c>
      <c r="D800" s="65" t="s">
        <v>76</v>
      </c>
      <c r="E800" s="26">
        <v>830</v>
      </c>
      <c r="F800" s="62"/>
      <c r="G800" s="62"/>
      <c r="H800" s="49"/>
      <c r="I800" s="62">
        <f>'прил. 8'!J513</f>
        <v>1.1000000000000001</v>
      </c>
      <c r="J800" s="49">
        <f t="shared" si="159"/>
        <v>1.1000000000000001</v>
      </c>
      <c r="K800" s="62">
        <f>'прил. 8'!L513</f>
        <v>180.6</v>
      </c>
      <c r="L800" s="49">
        <f t="shared" si="157"/>
        <v>181.7</v>
      </c>
      <c r="M800" s="62">
        <f>'прил. 8'!N513</f>
        <v>65.7</v>
      </c>
      <c r="N800" s="49">
        <f t="shared" si="156"/>
        <v>247.39999999999998</v>
      </c>
    </row>
    <row r="801" spans="1:14" x14ac:dyDescent="0.2">
      <c r="A801" s="50" t="str">
        <f t="shared" ca="1" si="158"/>
        <v>Уплата налогов, сборов и иных платежей</v>
      </c>
      <c r="B801" s="79" t="s">
        <v>640</v>
      </c>
      <c r="C801" s="65" t="s">
        <v>73</v>
      </c>
      <c r="D801" s="65" t="s">
        <v>76</v>
      </c>
      <c r="E801" s="26">
        <v>850</v>
      </c>
      <c r="F801" s="62">
        <f>'прил. 8'!G514</f>
        <v>10.9</v>
      </c>
      <c r="G801" s="62">
        <f>'прил. 8'!H514</f>
        <v>0</v>
      </c>
      <c r="H801" s="49">
        <f t="shared" si="150"/>
        <v>10.9</v>
      </c>
      <c r="I801" s="62">
        <f>'прил. 8'!J514</f>
        <v>0</v>
      </c>
      <c r="J801" s="49">
        <f t="shared" si="159"/>
        <v>10.9</v>
      </c>
      <c r="K801" s="62">
        <f>'прил. 8'!L514</f>
        <v>0</v>
      </c>
      <c r="L801" s="49">
        <f t="shared" si="157"/>
        <v>10.9</v>
      </c>
      <c r="M801" s="62">
        <f>'прил. 8'!N514</f>
        <v>0</v>
      </c>
      <c r="N801" s="49">
        <f t="shared" si="156"/>
        <v>10.9</v>
      </c>
    </row>
    <row r="802" spans="1:14" ht="33" x14ac:dyDescent="0.2">
      <c r="A802" s="50" t="str">
        <f ca="1">IF(ISERROR(MATCH(B802,Код_КЦСР,0)),"",INDIRECT(ADDRESS(MATCH(B802,Код_КЦСР,0)+1,2,,,"КЦСР")))</f>
        <v>Содержание и ремонт улично-дорожной сети города, в рамках софинансирования с областным Дорожным фондом</v>
      </c>
      <c r="B802" s="79" t="s">
        <v>346</v>
      </c>
      <c r="C802" s="65"/>
      <c r="D802" s="65"/>
      <c r="E802" s="26"/>
      <c r="F802" s="62">
        <f>F803</f>
        <v>29869.4</v>
      </c>
      <c r="G802" s="62">
        <f>G803</f>
        <v>0</v>
      </c>
      <c r="H802" s="49">
        <f t="shared" si="150"/>
        <v>29869.4</v>
      </c>
      <c r="I802" s="62">
        <f>I803</f>
        <v>0</v>
      </c>
      <c r="J802" s="49">
        <f t="shared" si="159"/>
        <v>29869.4</v>
      </c>
      <c r="K802" s="62">
        <f>K803</f>
        <v>0</v>
      </c>
      <c r="L802" s="49">
        <f t="shared" si="157"/>
        <v>29869.4</v>
      </c>
      <c r="M802" s="62">
        <f>M803</f>
        <v>0</v>
      </c>
      <c r="N802" s="49">
        <f t="shared" si="156"/>
        <v>29869.4</v>
      </c>
    </row>
    <row r="803" spans="1:14" x14ac:dyDescent="0.2">
      <c r="A803" s="50" t="str">
        <f ca="1">IF(ISERROR(MATCH(C803,Код_Раздел,0)),"",INDIRECT(ADDRESS(MATCH(C803,Код_Раздел,0)+1,2,,,"Раздел")))</f>
        <v>Национальная экономика</v>
      </c>
      <c r="B803" s="79" t="s">
        <v>346</v>
      </c>
      <c r="C803" s="65" t="s">
        <v>73</v>
      </c>
      <c r="D803" s="65"/>
      <c r="E803" s="26"/>
      <c r="F803" s="62">
        <f>F804</f>
        <v>29869.4</v>
      </c>
      <c r="G803" s="62">
        <f>G804</f>
        <v>0</v>
      </c>
      <c r="H803" s="49">
        <f t="shared" si="150"/>
        <v>29869.4</v>
      </c>
      <c r="I803" s="62">
        <f>I804</f>
        <v>0</v>
      </c>
      <c r="J803" s="49">
        <f t="shared" si="159"/>
        <v>29869.4</v>
      </c>
      <c r="K803" s="62">
        <f>K804</f>
        <v>0</v>
      </c>
      <c r="L803" s="49">
        <f t="shared" si="157"/>
        <v>29869.4</v>
      </c>
      <c r="M803" s="62">
        <f>M804</f>
        <v>0</v>
      </c>
      <c r="N803" s="49">
        <f t="shared" si="156"/>
        <v>29869.4</v>
      </c>
    </row>
    <row r="804" spans="1:14" x14ac:dyDescent="0.2">
      <c r="A804" s="51" t="s">
        <v>45</v>
      </c>
      <c r="B804" s="79" t="s">
        <v>346</v>
      </c>
      <c r="C804" s="65" t="s">
        <v>73</v>
      </c>
      <c r="D804" s="65" t="s">
        <v>76</v>
      </c>
      <c r="E804" s="26"/>
      <c r="F804" s="62">
        <f t="shared" ref="F804:M805" si="161">F805</f>
        <v>29869.4</v>
      </c>
      <c r="G804" s="62">
        <f t="shared" si="161"/>
        <v>0</v>
      </c>
      <c r="H804" s="49">
        <f t="shared" si="150"/>
        <v>29869.4</v>
      </c>
      <c r="I804" s="62">
        <f t="shared" si="161"/>
        <v>0</v>
      </c>
      <c r="J804" s="49">
        <f t="shared" si="159"/>
        <v>29869.4</v>
      </c>
      <c r="K804" s="62">
        <f t="shared" si="161"/>
        <v>0</v>
      </c>
      <c r="L804" s="49">
        <f t="shared" si="157"/>
        <v>29869.4</v>
      </c>
      <c r="M804" s="62">
        <f t="shared" si="161"/>
        <v>0</v>
      </c>
      <c r="N804" s="49">
        <f t="shared" si="156"/>
        <v>29869.4</v>
      </c>
    </row>
    <row r="805" spans="1:14" ht="33" x14ac:dyDescent="0.2">
      <c r="A805" s="50" t="str">
        <f t="shared" ref="A805:A806" ca="1" si="162">IF(ISERROR(MATCH(E805,Код_КВР,0)),"",INDIRECT(ADDRESS(MATCH(E805,Код_КВР,0)+1,2,,,"КВР")))</f>
        <v>Закупка товаров, работ и услуг для обеспечения государственных (муниципальных) нужд</v>
      </c>
      <c r="B805" s="79" t="s">
        <v>346</v>
      </c>
      <c r="C805" s="65" t="s">
        <v>73</v>
      </c>
      <c r="D805" s="65" t="s">
        <v>76</v>
      </c>
      <c r="E805" s="26">
        <v>200</v>
      </c>
      <c r="F805" s="62">
        <f t="shared" si="161"/>
        <v>29869.4</v>
      </c>
      <c r="G805" s="62">
        <f t="shared" si="161"/>
        <v>0</v>
      </c>
      <c r="H805" s="49">
        <f t="shared" si="150"/>
        <v>29869.4</v>
      </c>
      <c r="I805" s="62">
        <f t="shared" si="161"/>
        <v>0</v>
      </c>
      <c r="J805" s="49">
        <f t="shared" si="159"/>
        <v>29869.4</v>
      </c>
      <c r="K805" s="62">
        <f t="shared" si="161"/>
        <v>0</v>
      </c>
      <c r="L805" s="49">
        <f t="shared" si="157"/>
        <v>29869.4</v>
      </c>
      <c r="M805" s="62">
        <f t="shared" si="161"/>
        <v>0</v>
      </c>
      <c r="N805" s="49">
        <f t="shared" si="156"/>
        <v>29869.4</v>
      </c>
    </row>
    <row r="806" spans="1:14" ht="33" x14ac:dyDescent="0.2">
      <c r="A806" s="50" t="str">
        <f t="shared" ca="1" si="162"/>
        <v>Иные закупки товаров, работ и услуг для обеспечения государственных (муниципальных) нужд</v>
      </c>
      <c r="B806" s="79" t="s">
        <v>346</v>
      </c>
      <c r="C806" s="65" t="s">
        <v>73</v>
      </c>
      <c r="D806" s="65" t="s">
        <v>76</v>
      </c>
      <c r="E806" s="26">
        <v>240</v>
      </c>
      <c r="F806" s="62">
        <f>'прил. 8'!G517</f>
        <v>29869.4</v>
      </c>
      <c r="G806" s="62">
        <f>'прил. 8'!H517</f>
        <v>0</v>
      </c>
      <c r="H806" s="49">
        <f t="shared" si="150"/>
        <v>29869.4</v>
      </c>
      <c r="I806" s="62">
        <f>'прил. 8'!J517</f>
        <v>0</v>
      </c>
      <c r="J806" s="49">
        <f t="shared" si="159"/>
        <v>29869.4</v>
      </c>
      <c r="K806" s="62">
        <f>'прил. 8'!L517</f>
        <v>0</v>
      </c>
      <c r="L806" s="49">
        <f t="shared" si="157"/>
        <v>29869.4</v>
      </c>
      <c r="M806" s="62">
        <f>'прил. 8'!N517</f>
        <v>0</v>
      </c>
      <c r="N806" s="49">
        <f t="shared" si="156"/>
        <v>29869.4</v>
      </c>
    </row>
    <row r="807" spans="1:14" ht="49.5" hidden="1" x14ac:dyDescent="0.2">
      <c r="A807" s="50" t="str">
        <f ca="1">IF(ISERROR(MATCH(B807,Код_КЦСР,0)),"",INDIRECT(ADDRESS(MATCH(B807,Код_КЦСР,0)+1,2,,,"КЦСР")))</f>
        <v>Обеспечение подъездов к земельным участкам, предоставляемым отдельным категориям граждан, в рамках софинансирования с областным Дорожным фондом</v>
      </c>
      <c r="B807" s="79" t="s">
        <v>533</v>
      </c>
      <c r="C807" s="65"/>
      <c r="D807" s="65"/>
      <c r="E807" s="26"/>
      <c r="F807" s="62">
        <f t="shared" ref="F807:M810" si="163">F808</f>
        <v>0</v>
      </c>
      <c r="G807" s="62">
        <f t="shared" si="163"/>
        <v>0</v>
      </c>
      <c r="H807" s="49">
        <f t="shared" si="150"/>
        <v>0</v>
      </c>
      <c r="I807" s="62">
        <f t="shared" si="163"/>
        <v>0</v>
      </c>
      <c r="J807" s="49">
        <f t="shared" si="159"/>
        <v>0</v>
      </c>
      <c r="K807" s="62">
        <f t="shared" si="163"/>
        <v>0</v>
      </c>
      <c r="L807" s="49">
        <f t="shared" si="157"/>
        <v>0</v>
      </c>
      <c r="M807" s="62">
        <f t="shared" si="163"/>
        <v>0</v>
      </c>
      <c r="N807" s="49">
        <f t="shared" si="156"/>
        <v>0</v>
      </c>
    </row>
    <row r="808" spans="1:14" hidden="1" x14ac:dyDescent="0.2">
      <c r="A808" s="50" t="str">
        <f ca="1">IF(ISERROR(MATCH(C808,Код_Раздел,0)),"",INDIRECT(ADDRESS(MATCH(C808,Код_Раздел,0)+1,2,,,"Раздел")))</f>
        <v>Национальная экономика</v>
      </c>
      <c r="B808" s="79" t="s">
        <v>533</v>
      </c>
      <c r="C808" s="65" t="s">
        <v>73</v>
      </c>
      <c r="D808" s="65"/>
      <c r="E808" s="26"/>
      <c r="F808" s="62">
        <f t="shared" si="163"/>
        <v>0</v>
      </c>
      <c r="G808" s="62">
        <f t="shared" si="163"/>
        <v>0</v>
      </c>
      <c r="H808" s="49">
        <f t="shared" si="150"/>
        <v>0</v>
      </c>
      <c r="I808" s="62">
        <f t="shared" si="163"/>
        <v>0</v>
      </c>
      <c r="J808" s="49">
        <f t="shared" si="159"/>
        <v>0</v>
      </c>
      <c r="K808" s="62">
        <f t="shared" si="163"/>
        <v>0</v>
      </c>
      <c r="L808" s="49">
        <f t="shared" si="157"/>
        <v>0</v>
      </c>
      <c r="M808" s="62">
        <f t="shared" si="163"/>
        <v>0</v>
      </c>
      <c r="N808" s="49">
        <f t="shared" si="156"/>
        <v>0</v>
      </c>
    </row>
    <row r="809" spans="1:14" hidden="1" x14ac:dyDescent="0.2">
      <c r="A809" s="51" t="s">
        <v>45</v>
      </c>
      <c r="B809" s="79" t="s">
        <v>533</v>
      </c>
      <c r="C809" s="65" t="s">
        <v>73</v>
      </c>
      <c r="D809" s="65" t="s">
        <v>76</v>
      </c>
      <c r="E809" s="26"/>
      <c r="F809" s="62">
        <f t="shared" si="163"/>
        <v>0</v>
      </c>
      <c r="G809" s="62">
        <f t="shared" si="163"/>
        <v>0</v>
      </c>
      <c r="H809" s="49">
        <f t="shared" si="150"/>
        <v>0</v>
      </c>
      <c r="I809" s="62">
        <f t="shared" si="163"/>
        <v>0</v>
      </c>
      <c r="J809" s="49">
        <f t="shared" si="159"/>
        <v>0</v>
      </c>
      <c r="K809" s="62">
        <f t="shared" si="163"/>
        <v>0</v>
      </c>
      <c r="L809" s="49">
        <f t="shared" si="157"/>
        <v>0</v>
      </c>
      <c r="M809" s="62">
        <f t="shared" si="163"/>
        <v>0</v>
      </c>
      <c r="N809" s="49">
        <f t="shared" si="156"/>
        <v>0</v>
      </c>
    </row>
    <row r="810" spans="1:14" ht="33" hidden="1" x14ac:dyDescent="0.2">
      <c r="A810" s="50" t="str">
        <f t="shared" ref="A810:A811" ca="1" si="164">IF(ISERROR(MATCH(E810,Код_КВР,0)),"",INDIRECT(ADDRESS(MATCH(E810,Код_КВР,0)+1,2,,,"КВР")))</f>
        <v>Закупка товаров, работ и услуг для обеспечения государственных (муниципальных) нужд</v>
      </c>
      <c r="B810" s="79" t="s">
        <v>533</v>
      </c>
      <c r="C810" s="65" t="s">
        <v>73</v>
      </c>
      <c r="D810" s="65" t="s">
        <v>76</v>
      </c>
      <c r="E810" s="26">
        <v>200</v>
      </c>
      <c r="F810" s="62">
        <f t="shared" si="163"/>
        <v>0</v>
      </c>
      <c r="G810" s="62">
        <f t="shared" si="163"/>
        <v>0</v>
      </c>
      <c r="H810" s="49">
        <f t="shared" si="150"/>
        <v>0</v>
      </c>
      <c r="I810" s="62">
        <f t="shared" si="163"/>
        <v>0</v>
      </c>
      <c r="J810" s="49">
        <f t="shared" si="159"/>
        <v>0</v>
      </c>
      <c r="K810" s="62">
        <f t="shared" si="163"/>
        <v>0</v>
      </c>
      <c r="L810" s="49">
        <f t="shared" si="157"/>
        <v>0</v>
      </c>
      <c r="M810" s="62">
        <f t="shared" si="163"/>
        <v>0</v>
      </c>
      <c r="N810" s="49">
        <f t="shared" si="156"/>
        <v>0</v>
      </c>
    </row>
    <row r="811" spans="1:14" ht="33" hidden="1" x14ac:dyDescent="0.2">
      <c r="A811" s="50" t="str">
        <f t="shared" ca="1" si="164"/>
        <v>Иные закупки товаров, работ и услуг для обеспечения государственных (муниципальных) нужд</v>
      </c>
      <c r="B811" s="79" t="s">
        <v>533</v>
      </c>
      <c r="C811" s="65" t="s">
        <v>73</v>
      </c>
      <c r="D811" s="65" t="s">
        <v>76</v>
      </c>
      <c r="E811" s="26">
        <v>240</v>
      </c>
      <c r="F811" s="62">
        <f>'прил. 8'!G520</f>
        <v>0</v>
      </c>
      <c r="G811" s="62">
        <f>'прил. 8'!H520</f>
        <v>0</v>
      </c>
      <c r="H811" s="49">
        <f t="shared" si="150"/>
        <v>0</v>
      </c>
      <c r="I811" s="62">
        <f>'прил. 8'!J520</f>
        <v>0</v>
      </c>
      <c r="J811" s="49">
        <f t="shared" si="159"/>
        <v>0</v>
      </c>
      <c r="K811" s="62">
        <f>'прил. 8'!L520</f>
        <v>0</v>
      </c>
      <c r="L811" s="49">
        <f t="shared" si="157"/>
        <v>0</v>
      </c>
      <c r="M811" s="62">
        <f>'прил. 8'!N520</f>
        <v>0</v>
      </c>
      <c r="N811" s="49">
        <f t="shared" si="156"/>
        <v>0</v>
      </c>
    </row>
    <row r="812" spans="1:14" ht="33" x14ac:dyDescent="0.2">
      <c r="A812" s="50" t="str">
        <f ca="1">IF(ISERROR(MATCH(B812,Код_КЦСР,0)),"",INDIRECT(ADDRESS(MATCH(B812,Код_КЦСР,0)+1,2,,,"КЦСР")))</f>
        <v>Мероприятия по решению общегосударственных вопросов и вопросов в области национальной политики</v>
      </c>
      <c r="B812" s="79" t="s">
        <v>347</v>
      </c>
      <c r="C812" s="65"/>
      <c r="D812" s="46"/>
      <c r="E812" s="26"/>
      <c r="F812" s="62">
        <f>F813+F817</f>
        <v>80</v>
      </c>
      <c r="G812" s="62">
        <f>G813+G817</f>
        <v>0</v>
      </c>
      <c r="H812" s="49">
        <f t="shared" si="150"/>
        <v>80</v>
      </c>
      <c r="I812" s="62">
        <f>I813+I817</f>
        <v>0</v>
      </c>
      <c r="J812" s="49">
        <f t="shared" si="159"/>
        <v>80</v>
      </c>
      <c r="K812" s="62">
        <f>K813+K817</f>
        <v>498</v>
      </c>
      <c r="L812" s="49">
        <f t="shared" si="157"/>
        <v>578</v>
      </c>
      <c r="M812" s="62">
        <f>M813+M817</f>
        <v>0</v>
      </c>
      <c r="N812" s="49">
        <f t="shared" si="156"/>
        <v>578</v>
      </c>
    </row>
    <row r="813" spans="1:14" x14ac:dyDescent="0.2">
      <c r="A813" s="50" t="str">
        <f ca="1">IF(ISERROR(MATCH(C813,Код_Раздел,0)),"",INDIRECT(ADDRESS(MATCH(C813,Код_Раздел,0)+1,2,,,"Раздел")))</f>
        <v>Общегосударственные вопросы</v>
      </c>
      <c r="B813" s="79" t="s">
        <v>347</v>
      </c>
      <c r="C813" s="65" t="s">
        <v>70</v>
      </c>
      <c r="D813" s="46"/>
      <c r="E813" s="26"/>
      <c r="F813" s="62">
        <f t="shared" ref="F813:M815" si="165">F814</f>
        <v>50</v>
      </c>
      <c r="G813" s="62">
        <f t="shared" si="165"/>
        <v>0</v>
      </c>
      <c r="H813" s="49">
        <f t="shared" si="150"/>
        <v>50</v>
      </c>
      <c r="I813" s="62">
        <f t="shared" si="165"/>
        <v>0</v>
      </c>
      <c r="J813" s="49">
        <f t="shared" si="159"/>
        <v>50</v>
      </c>
      <c r="K813" s="62">
        <f t="shared" si="165"/>
        <v>0</v>
      </c>
      <c r="L813" s="49">
        <f t="shared" si="157"/>
        <v>50</v>
      </c>
      <c r="M813" s="62">
        <f t="shared" si="165"/>
        <v>0</v>
      </c>
      <c r="N813" s="49">
        <f t="shared" si="156"/>
        <v>50</v>
      </c>
    </row>
    <row r="814" spans="1:14" x14ac:dyDescent="0.2">
      <c r="A814" s="45" t="s">
        <v>91</v>
      </c>
      <c r="B814" s="79" t="s">
        <v>347</v>
      </c>
      <c r="C814" s="65" t="s">
        <v>70</v>
      </c>
      <c r="D814" s="46" t="s">
        <v>55</v>
      </c>
      <c r="E814" s="26"/>
      <c r="F814" s="62">
        <f t="shared" si="165"/>
        <v>50</v>
      </c>
      <c r="G814" s="62">
        <f t="shared" si="165"/>
        <v>0</v>
      </c>
      <c r="H814" s="49">
        <f t="shared" si="150"/>
        <v>50</v>
      </c>
      <c r="I814" s="62">
        <f t="shared" si="165"/>
        <v>0</v>
      </c>
      <c r="J814" s="49">
        <f t="shared" si="159"/>
        <v>50</v>
      </c>
      <c r="K814" s="62">
        <f t="shared" si="165"/>
        <v>0</v>
      </c>
      <c r="L814" s="49">
        <f t="shared" si="157"/>
        <v>50</v>
      </c>
      <c r="M814" s="62">
        <f t="shared" si="165"/>
        <v>0</v>
      </c>
      <c r="N814" s="49">
        <f t="shared" si="156"/>
        <v>50</v>
      </c>
    </row>
    <row r="815" spans="1:14" ht="33" x14ac:dyDescent="0.2">
      <c r="A815" s="50" t="str">
        <f ca="1">IF(ISERROR(MATCH(E815,Код_КВР,0)),"",INDIRECT(ADDRESS(MATCH(E815,Код_КВР,0)+1,2,,,"КВР")))</f>
        <v>Закупка товаров, работ и услуг для обеспечения государственных (муниципальных) нужд</v>
      </c>
      <c r="B815" s="79" t="s">
        <v>347</v>
      </c>
      <c r="C815" s="65" t="s">
        <v>70</v>
      </c>
      <c r="D815" s="46" t="s">
        <v>55</v>
      </c>
      <c r="E815" s="26">
        <v>200</v>
      </c>
      <c r="F815" s="62">
        <f t="shared" si="165"/>
        <v>50</v>
      </c>
      <c r="G815" s="62">
        <f t="shared" si="165"/>
        <v>0</v>
      </c>
      <c r="H815" s="49">
        <f t="shared" si="150"/>
        <v>50</v>
      </c>
      <c r="I815" s="62">
        <f t="shared" si="165"/>
        <v>0</v>
      </c>
      <c r="J815" s="49">
        <f t="shared" si="159"/>
        <v>50</v>
      </c>
      <c r="K815" s="62">
        <f t="shared" si="165"/>
        <v>0</v>
      </c>
      <c r="L815" s="49">
        <f t="shared" si="157"/>
        <v>50</v>
      </c>
      <c r="M815" s="62">
        <f t="shared" si="165"/>
        <v>0</v>
      </c>
      <c r="N815" s="49">
        <f t="shared" si="156"/>
        <v>50</v>
      </c>
    </row>
    <row r="816" spans="1:14" ht="33" x14ac:dyDescent="0.2">
      <c r="A816" s="50" t="str">
        <f ca="1">IF(ISERROR(MATCH(E816,Код_КВР,0)),"",INDIRECT(ADDRESS(MATCH(E816,Код_КВР,0)+1,2,,,"КВР")))</f>
        <v>Иные закупки товаров, работ и услуг для обеспечения государственных (муниципальных) нужд</v>
      </c>
      <c r="B816" s="79" t="s">
        <v>347</v>
      </c>
      <c r="C816" s="65" t="s">
        <v>70</v>
      </c>
      <c r="D816" s="46" t="s">
        <v>55</v>
      </c>
      <c r="E816" s="26">
        <v>240</v>
      </c>
      <c r="F816" s="62">
        <f>'прил. 8'!G496</f>
        <v>50</v>
      </c>
      <c r="G816" s="62">
        <f>'прил. 8'!H496</f>
        <v>0</v>
      </c>
      <c r="H816" s="49">
        <f t="shared" si="150"/>
        <v>50</v>
      </c>
      <c r="I816" s="62">
        <f>'прил. 8'!J496</f>
        <v>0</v>
      </c>
      <c r="J816" s="49">
        <f t="shared" si="159"/>
        <v>50</v>
      </c>
      <c r="K816" s="62">
        <f>'прил. 8'!L496</f>
        <v>0</v>
      </c>
      <c r="L816" s="49">
        <f t="shared" si="157"/>
        <v>50</v>
      </c>
      <c r="M816" s="62">
        <f>'прил. 8'!N496</f>
        <v>0</v>
      </c>
      <c r="N816" s="49">
        <f t="shared" si="156"/>
        <v>50</v>
      </c>
    </row>
    <row r="817" spans="1:14" x14ac:dyDescent="0.2">
      <c r="A817" s="50" t="str">
        <f ca="1">IF(ISERROR(MATCH(C817,Код_Раздел,0)),"",INDIRECT(ADDRESS(MATCH(C817,Код_Раздел,0)+1,2,,,"Раздел")))</f>
        <v>Национальная экономика</v>
      </c>
      <c r="B817" s="79" t="s">
        <v>347</v>
      </c>
      <c r="C817" s="65" t="s">
        <v>73</v>
      </c>
      <c r="D817" s="46"/>
      <c r="E817" s="26"/>
      <c r="F817" s="62">
        <f>F818</f>
        <v>30</v>
      </c>
      <c r="G817" s="62">
        <f>G818</f>
        <v>0</v>
      </c>
      <c r="H817" s="49">
        <f t="shared" si="150"/>
        <v>30</v>
      </c>
      <c r="I817" s="62">
        <f>I818</f>
        <v>0</v>
      </c>
      <c r="J817" s="49">
        <f t="shared" si="159"/>
        <v>30</v>
      </c>
      <c r="K817" s="62">
        <f>K818</f>
        <v>498</v>
      </c>
      <c r="L817" s="49">
        <f t="shared" si="157"/>
        <v>528</v>
      </c>
      <c r="M817" s="62">
        <f>M818</f>
        <v>0</v>
      </c>
      <c r="N817" s="49">
        <f t="shared" si="156"/>
        <v>528</v>
      </c>
    </row>
    <row r="818" spans="1:14" x14ac:dyDescent="0.2">
      <c r="A818" s="45" t="s">
        <v>80</v>
      </c>
      <c r="B818" s="79" t="s">
        <v>347</v>
      </c>
      <c r="C818" s="65" t="s">
        <v>73</v>
      </c>
      <c r="D818" s="65" t="s">
        <v>61</v>
      </c>
      <c r="E818" s="26"/>
      <c r="F818" s="62">
        <f t="shared" ref="F818:M819" si="166">F819</f>
        <v>30</v>
      </c>
      <c r="G818" s="62">
        <f t="shared" si="166"/>
        <v>0</v>
      </c>
      <c r="H818" s="49">
        <f t="shared" si="150"/>
        <v>30</v>
      </c>
      <c r="I818" s="62">
        <f t="shared" si="166"/>
        <v>0</v>
      </c>
      <c r="J818" s="49">
        <f t="shared" si="159"/>
        <v>30</v>
      </c>
      <c r="K818" s="62">
        <f t="shared" si="166"/>
        <v>498</v>
      </c>
      <c r="L818" s="49">
        <f t="shared" si="157"/>
        <v>528</v>
      </c>
      <c r="M818" s="62">
        <f t="shared" si="166"/>
        <v>0</v>
      </c>
      <c r="N818" s="49">
        <f t="shared" si="156"/>
        <v>528</v>
      </c>
    </row>
    <row r="819" spans="1:14" ht="33" x14ac:dyDescent="0.2">
      <c r="A819" s="50" t="str">
        <f ca="1">IF(ISERROR(MATCH(E819,Код_КВР,0)),"",INDIRECT(ADDRESS(MATCH(E819,Код_КВР,0)+1,2,,,"КВР")))</f>
        <v>Закупка товаров, работ и услуг для обеспечения государственных (муниципальных) нужд</v>
      </c>
      <c r="B819" s="79" t="s">
        <v>347</v>
      </c>
      <c r="C819" s="65" t="s">
        <v>73</v>
      </c>
      <c r="D819" s="65" t="s">
        <v>61</v>
      </c>
      <c r="E819" s="26">
        <v>200</v>
      </c>
      <c r="F819" s="62">
        <f t="shared" si="166"/>
        <v>30</v>
      </c>
      <c r="G819" s="62">
        <f t="shared" si="166"/>
        <v>0</v>
      </c>
      <c r="H819" s="49">
        <f t="shared" si="150"/>
        <v>30</v>
      </c>
      <c r="I819" s="62">
        <f t="shared" si="166"/>
        <v>0</v>
      </c>
      <c r="J819" s="49">
        <f t="shared" si="159"/>
        <v>30</v>
      </c>
      <c r="K819" s="62">
        <f t="shared" si="166"/>
        <v>498</v>
      </c>
      <c r="L819" s="49">
        <f t="shared" si="157"/>
        <v>528</v>
      </c>
      <c r="M819" s="62">
        <f t="shared" si="166"/>
        <v>0</v>
      </c>
      <c r="N819" s="49">
        <f t="shared" si="156"/>
        <v>528</v>
      </c>
    </row>
    <row r="820" spans="1:14" ht="33" x14ac:dyDescent="0.2">
      <c r="A820" s="50" t="str">
        <f ca="1">IF(ISERROR(MATCH(E820,Код_КВР,0)),"",INDIRECT(ADDRESS(MATCH(E820,Код_КВР,0)+1,2,,,"КВР")))</f>
        <v>Иные закупки товаров, работ и услуг для обеспечения государственных (муниципальных) нужд</v>
      </c>
      <c r="B820" s="79" t="s">
        <v>347</v>
      </c>
      <c r="C820" s="65" t="s">
        <v>73</v>
      </c>
      <c r="D820" s="65" t="s">
        <v>61</v>
      </c>
      <c r="E820" s="26">
        <v>240</v>
      </c>
      <c r="F820" s="62">
        <f>'прил. 8'!G537</f>
        <v>30</v>
      </c>
      <c r="G820" s="62">
        <f>'прил. 8'!H537</f>
        <v>0</v>
      </c>
      <c r="H820" s="49">
        <f t="shared" si="150"/>
        <v>30</v>
      </c>
      <c r="I820" s="62">
        <f>'прил. 8'!J537</f>
        <v>0</v>
      </c>
      <c r="J820" s="49">
        <f t="shared" si="159"/>
        <v>30</v>
      </c>
      <c r="K820" s="62">
        <f>'прил. 8'!L537</f>
        <v>498</v>
      </c>
      <c r="L820" s="49">
        <f t="shared" si="157"/>
        <v>528</v>
      </c>
      <c r="M820" s="62">
        <f>'прил. 8'!N537</f>
        <v>0</v>
      </c>
      <c r="N820" s="49">
        <f t="shared" si="156"/>
        <v>528</v>
      </c>
    </row>
    <row r="821" spans="1:14" ht="33" x14ac:dyDescent="0.2">
      <c r="A821" s="50" t="str">
        <f ca="1">IF(ISERROR(MATCH(B821,Код_КЦСР,0)),"",INDIRECT(ADDRESS(MATCH(B821,Код_КЦСР,0)+1,2,,,"КЦСР")))</f>
        <v>Осуществление дорожной деятельности в отношении автомобильных дорог общего пользования местного значения</v>
      </c>
      <c r="B821" s="79" t="s">
        <v>487</v>
      </c>
      <c r="C821" s="65"/>
      <c r="D821" s="65"/>
      <c r="E821" s="26"/>
      <c r="F821" s="62">
        <f t="shared" ref="F821:M825" si="167">F822</f>
        <v>0</v>
      </c>
      <c r="G821" s="62">
        <f t="shared" si="167"/>
        <v>0</v>
      </c>
      <c r="H821" s="49">
        <f t="shared" si="150"/>
        <v>0</v>
      </c>
      <c r="I821" s="62">
        <f t="shared" si="167"/>
        <v>0</v>
      </c>
      <c r="J821" s="49">
        <f t="shared" si="159"/>
        <v>0</v>
      </c>
      <c r="K821" s="62">
        <f t="shared" si="167"/>
        <v>278825</v>
      </c>
      <c r="L821" s="49">
        <f t="shared" si="157"/>
        <v>278825</v>
      </c>
      <c r="M821" s="62">
        <f t="shared" si="167"/>
        <v>0</v>
      </c>
      <c r="N821" s="49">
        <f t="shared" si="156"/>
        <v>278825</v>
      </c>
    </row>
    <row r="822" spans="1:14" ht="49.5" x14ac:dyDescent="0.2">
      <c r="A822" s="50" t="str">
        <f ca="1">IF(ISERROR(MATCH(B822,Код_КЦСР,0)),"",INDIRECT(ADDRESS(MATCH(B822,Код_КЦСР,0)+1,2,,,"КЦСР")))</f>
        <v>Осуществление дорожной деятельности в отношении автомобильных дорог общего пользования местного значения, за счет средств областного бюджета</v>
      </c>
      <c r="B822" s="79" t="s">
        <v>475</v>
      </c>
      <c r="C822" s="65"/>
      <c r="D822" s="65"/>
      <c r="E822" s="26"/>
      <c r="F822" s="62">
        <f t="shared" si="167"/>
        <v>0</v>
      </c>
      <c r="G822" s="62">
        <f t="shared" si="167"/>
        <v>0</v>
      </c>
      <c r="H822" s="49">
        <f t="shared" si="150"/>
        <v>0</v>
      </c>
      <c r="I822" s="62">
        <f t="shared" si="167"/>
        <v>0</v>
      </c>
      <c r="J822" s="49">
        <f t="shared" si="159"/>
        <v>0</v>
      </c>
      <c r="K822" s="62">
        <f t="shared" si="167"/>
        <v>278825</v>
      </c>
      <c r="L822" s="49">
        <f t="shared" si="157"/>
        <v>278825</v>
      </c>
      <c r="M822" s="62">
        <f t="shared" si="167"/>
        <v>0</v>
      </c>
      <c r="N822" s="49">
        <f t="shared" si="156"/>
        <v>278825</v>
      </c>
    </row>
    <row r="823" spans="1:14" x14ac:dyDescent="0.2">
      <c r="A823" s="50" t="str">
        <f ca="1">IF(ISERROR(MATCH(C823,Код_Раздел,0)),"",INDIRECT(ADDRESS(MATCH(C823,Код_Раздел,0)+1,2,,,"Раздел")))</f>
        <v>Национальная экономика</v>
      </c>
      <c r="B823" s="79" t="s">
        <v>475</v>
      </c>
      <c r="C823" s="65" t="s">
        <v>73</v>
      </c>
      <c r="D823" s="65"/>
      <c r="E823" s="26"/>
      <c r="F823" s="62">
        <f t="shared" si="167"/>
        <v>0</v>
      </c>
      <c r="G823" s="62">
        <f t="shared" si="167"/>
        <v>0</v>
      </c>
      <c r="H823" s="49">
        <f t="shared" si="150"/>
        <v>0</v>
      </c>
      <c r="I823" s="62">
        <f t="shared" si="167"/>
        <v>0</v>
      </c>
      <c r="J823" s="49">
        <f t="shared" si="159"/>
        <v>0</v>
      </c>
      <c r="K823" s="62">
        <f t="shared" si="167"/>
        <v>278825</v>
      </c>
      <c r="L823" s="49">
        <f t="shared" si="157"/>
        <v>278825</v>
      </c>
      <c r="M823" s="62">
        <f t="shared" si="167"/>
        <v>0</v>
      </c>
      <c r="N823" s="49">
        <f t="shared" si="156"/>
        <v>278825</v>
      </c>
    </row>
    <row r="824" spans="1:14" x14ac:dyDescent="0.2">
      <c r="A824" s="51" t="s">
        <v>45</v>
      </c>
      <c r="B824" s="79" t="s">
        <v>475</v>
      </c>
      <c r="C824" s="65" t="s">
        <v>73</v>
      </c>
      <c r="D824" s="65" t="s">
        <v>76</v>
      </c>
      <c r="E824" s="26"/>
      <c r="F824" s="62">
        <f t="shared" si="167"/>
        <v>0</v>
      </c>
      <c r="G824" s="62">
        <f t="shared" si="167"/>
        <v>0</v>
      </c>
      <c r="H824" s="49">
        <f t="shared" si="150"/>
        <v>0</v>
      </c>
      <c r="I824" s="62">
        <f t="shared" si="167"/>
        <v>0</v>
      </c>
      <c r="J824" s="49">
        <f t="shared" si="159"/>
        <v>0</v>
      </c>
      <c r="K824" s="62">
        <f t="shared" si="167"/>
        <v>278825</v>
      </c>
      <c r="L824" s="49">
        <f t="shared" si="157"/>
        <v>278825</v>
      </c>
      <c r="M824" s="62">
        <f t="shared" si="167"/>
        <v>0</v>
      </c>
      <c r="N824" s="49">
        <f t="shared" si="156"/>
        <v>278825</v>
      </c>
    </row>
    <row r="825" spans="1:14" ht="33" x14ac:dyDescent="0.2">
      <c r="A825" s="50" t="str">
        <f t="shared" ref="A825:A826" ca="1" si="168">IF(ISERROR(MATCH(E825,Код_КВР,0)),"",INDIRECT(ADDRESS(MATCH(E825,Код_КВР,0)+1,2,,,"КВР")))</f>
        <v>Закупка товаров, работ и услуг для обеспечения государственных (муниципальных) нужд</v>
      </c>
      <c r="B825" s="79" t="s">
        <v>475</v>
      </c>
      <c r="C825" s="65" t="s">
        <v>73</v>
      </c>
      <c r="D825" s="65" t="s">
        <v>76</v>
      </c>
      <c r="E825" s="26">
        <v>200</v>
      </c>
      <c r="F825" s="62">
        <f t="shared" si="167"/>
        <v>0</v>
      </c>
      <c r="G825" s="62">
        <f t="shared" si="167"/>
        <v>0</v>
      </c>
      <c r="H825" s="49">
        <f t="shared" si="150"/>
        <v>0</v>
      </c>
      <c r="I825" s="62">
        <f t="shared" si="167"/>
        <v>0</v>
      </c>
      <c r="J825" s="49">
        <f t="shared" si="159"/>
        <v>0</v>
      </c>
      <c r="K825" s="62">
        <f t="shared" si="167"/>
        <v>278825</v>
      </c>
      <c r="L825" s="49">
        <f t="shared" si="157"/>
        <v>278825</v>
      </c>
      <c r="M825" s="62">
        <f t="shared" si="167"/>
        <v>0</v>
      </c>
      <c r="N825" s="49">
        <f t="shared" si="156"/>
        <v>278825</v>
      </c>
    </row>
    <row r="826" spans="1:14" ht="33" x14ac:dyDescent="0.2">
      <c r="A826" s="50" t="str">
        <f t="shared" ca="1" si="168"/>
        <v>Иные закупки товаров, работ и услуг для обеспечения государственных (муниципальных) нужд</v>
      </c>
      <c r="B826" s="79" t="s">
        <v>475</v>
      </c>
      <c r="C826" s="65" t="s">
        <v>73</v>
      </c>
      <c r="D826" s="65" t="s">
        <v>76</v>
      </c>
      <c r="E826" s="26">
        <v>240</v>
      </c>
      <c r="F826" s="62">
        <f>'прил. 8'!G524</f>
        <v>0</v>
      </c>
      <c r="G826" s="62">
        <f>'прил. 8'!H524</f>
        <v>0</v>
      </c>
      <c r="H826" s="49">
        <f t="shared" si="150"/>
        <v>0</v>
      </c>
      <c r="I826" s="62">
        <f>'прил. 8'!J524</f>
        <v>0</v>
      </c>
      <c r="J826" s="49">
        <f t="shared" si="159"/>
        <v>0</v>
      </c>
      <c r="K826" s="62">
        <f>'прил. 8'!L524</f>
        <v>278825</v>
      </c>
      <c r="L826" s="49">
        <f t="shared" si="157"/>
        <v>278825</v>
      </c>
      <c r="M826" s="62">
        <f>'прил. 8'!N524</f>
        <v>0</v>
      </c>
      <c r="N826" s="49">
        <f t="shared" si="156"/>
        <v>278825</v>
      </c>
    </row>
    <row r="827" spans="1:14" ht="72.75" customHeight="1" x14ac:dyDescent="0.2">
      <c r="A827" s="50" t="str">
        <f ca="1">IF(ISERROR(MATCH(B827,Код_КЦСР,0)),"",INDIRECT(ADDRESS(MATCH(B827,Код_КЦСР,0)+1,2,,,"КЦСР")))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v>
      </c>
      <c r="B827" s="79" t="s">
        <v>348</v>
      </c>
      <c r="C827" s="65"/>
      <c r="D827" s="65"/>
      <c r="E827" s="26"/>
      <c r="F827" s="62">
        <f t="shared" ref="F827:M831" si="169">F828</f>
        <v>1155.8</v>
      </c>
      <c r="G827" s="62">
        <f t="shared" si="169"/>
        <v>0</v>
      </c>
      <c r="H827" s="49">
        <f t="shared" si="150"/>
        <v>1155.8</v>
      </c>
      <c r="I827" s="62">
        <f t="shared" si="169"/>
        <v>0</v>
      </c>
      <c r="J827" s="49">
        <f t="shared" si="159"/>
        <v>1155.8</v>
      </c>
      <c r="K827" s="62">
        <f t="shared" si="169"/>
        <v>0</v>
      </c>
      <c r="L827" s="49">
        <f t="shared" si="157"/>
        <v>1155.8</v>
      </c>
      <c r="M827" s="62">
        <f t="shared" si="169"/>
        <v>0</v>
      </c>
      <c r="N827" s="49">
        <f t="shared" si="156"/>
        <v>1155.8</v>
      </c>
    </row>
    <row r="828" spans="1:14" ht="82.5" x14ac:dyDescent="0.2">
      <c r="A828" s="50" t="str">
        <f ca="1">IF(ISERROR(MATCH(B828,Код_КЦСР,0)),"",INDIRECT(ADDRESS(MATCH(B828,Код_КЦСР,0)+1,2,,,"КЦСР")))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животных», за счет средств областного бюджета</v>
      </c>
      <c r="B828" s="79" t="s">
        <v>349</v>
      </c>
      <c r="C828" s="65"/>
      <c r="D828" s="65"/>
      <c r="E828" s="26"/>
      <c r="F828" s="62">
        <f t="shared" si="169"/>
        <v>1155.8</v>
      </c>
      <c r="G828" s="62">
        <f t="shared" si="169"/>
        <v>0</v>
      </c>
      <c r="H828" s="49">
        <f t="shared" ref="H828:H896" si="170">F828+G828</f>
        <v>1155.8</v>
      </c>
      <c r="I828" s="62">
        <f t="shared" si="169"/>
        <v>0</v>
      </c>
      <c r="J828" s="49">
        <f t="shared" si="159"/>
        <v>1155.8</v>
      </c>
      <c r="K828" s="62">
        <f t="shared" si="169"/>
        <v>0</v>
      </c>
      <c r="L828" s="49">
        <f t="shared" si="157"/>
        <v>1155.8</v>
      </c>
      <c r="M828" s="62">
        <f t="shared" si="169"/>
        <v>0</v>
      </c>
      <c r="N828" s="49">
        <f t="shared" si="156"/>
        <v>1155.8</v>
      </c>
    </row>
    <row r="829" spans="1:14" x14ac:dyDescent="0.2">
      <c r="A829" s="50" t="str">
        <f ca="1">IF(ISERROR(MATCH(C829,Код_Раздел,0)),"",INDIRECT(ADDRESS(MATCH(C829,Код_Раздел,0)+1,2,,,"Раздел")))</f>
        <v>Здравоохранение</v>
      </c>
      <c r="B829" s="79" t="s">
        <v>349</v>
      </c>
      <c r="C829" s="65" t="s">
        <v>76</v>
      </c>
      <c r="D829" s="65"/>
      <c r="E829" s="26"/>
      <c r="F829" s="62">
        <f t="shared" si="169"/>
        <v>1155.8</v>
      </c>
      <c r="G829" s="62">
        <f t="shared" si="169"/>
        <v>0</v>
      </c>
      <c r="H829" s="49">
        <f t="shared" si="170"/>
        <v>1155.8</v>
      </c>
      <c r="I829" s="62">
        <f t="shared" si="169"/>
        <v>0</v>
      </c>
      <c r="J829" s="49">
        <f t="shared" si="159"/>
        <v>1155.8</v>
      </c>
      <c r="K829" s="62">
        <f t="shared" si="169"/>
        <v>0</v>
      </c>
      <c r="L829" s="49">
        <f t="shared" si="157"/>
        <v>1155.8</v>
      </c>
      <c r="M829" s="62">
        <f t="shared" si="169"/>
        <v>0</v>
      </c>
      <c r="N829" s="49">
        <f t="shared" si="156"/>
        <v>1155.8</v>
      </c>
    </row>
    <row r="830" spans="1:14" x14ac:dyDescent="0.2">
      <c r="A830" s="51" t="s">
        <v>113</v>
      </c>
      <c r="B830" s="79" t="s">
        <v>349</v>
      </c>
      <c r="C830" s="65" t="s">
        <v>76</v>
      </c>
      <c r="D830" s="65" t="s">
        <v>60</v>
      </c>
      <c r="E830" s="26"/>
      <c r="F830" s="62">
        <f t="shared" si="169"/>
        <v>1155.8</v>
      </c>
      <c r="G830" s="62">
        <f t="shared" si="169"/>
        <v>0</v>
      </c>
      <c r="H830" s="49">
        <f t="shared" si="170"/>
        <v>1155.8</v>
      </c>
      <c r="I830" s="62">
        <f t="shared" si="169"/>
        <v>0</v>
      </c>
      <c r="J830" s="49">
        <f t="shared" si="159"/>
        <v>1155.8</v>
      </c>
      <c r="K830" s="62">
        <f t="shared" si="169"/>
        <v>0</v>
      </c>
      <c r="L830" s="49">
        <f t="shared" si="157"/>
        <v>1155.8</v>
      </c>
      <c r="M830" s="62">
        <f t="shared" si="169"/>
        <v>0</v>
      </c>
      <c r="N830" s="49">
        <f t="shared" si="156"/>
        <v>1155.8</v>
      </c>
    </row>
    <row r="831" spans="1:14" ht="33" x14ac:dyDescent="0.2">
      <c r="A831" s="50" t="str">
        <f ca="1">IF(ISERROR(MATCH(E831,Код_КВР,0)),"",INDIRECT(ADDRESS(MATCH(E831,Код_КВР,0)+1,2,,,"КВР")))</f>
        <v>Закупка товаров, работ и услуг для обеспечения государственных (муниципальных) нужд</v>
      </c>
      <c r="B831" s="79" t="s">
        <v>349</v>
      </c>
      <c r="C831" s="65" t="s">
        <v>76</v>
      </c>
      <c r="D831" s="65" t="s">
        <v>60</v>
      </c>
      <c r="E831" s="26">
        <v>200</v>
      </c>
      <c r="F831" s="62">
        <f t="shared" si="169"/>
        <v>1155.8</v>
      </c>
      <c r="G831" s="62">
        <f t="shared" si="169"/>
        <v>0</v>
      </c>
      <c r="H831" s="49">
        <f t="shared" si="170"/>
        <v>1155.8</v>
      </c>
      <c r="I831" s="62">
        <f t="shared" si="169"/>
        <v>0</v>
      </c>
      <c r="J831" s="49">
        <f t="shared" si="159"/>
        <v>1155.8</v>
      </c>
      <c r="K831" s="62">
        <f t="shared" si="169"/>
        <v>0</v>
      </c>
      <c r="L831" s="49">
        <f t="shared" si="157"/>
        <v>1155.8</v>
      </c>
      <c r="M831" s="62">
        <f t="shared" si="169"/>
        <v>0</v>
      </c>
      <c r="N831" s="49">
        <f t="shared" si="156"/>
        <v>1155.8</v>
      </c>
    </row>
    <row r="832" spans="1:14" ht="33" x14ac:dyDescent="0.2">
      <c r="A832" s="50" t="str">
        <f ca="1">IF(ISERROR(MATCH(E832,Код_КВР,0)),"",INDIRECT(ADDRESS(MATCH(E832,Код_КВР,0)+1,2,,,"КВР")))</f>
        <v>Иные закупки товаров, работ и услуг для обеспечения государственных (муниципальных) нужд</v>
      </c>
      <c r="B832" s="79" t="s">
        <v>349</v>
      </c>
      <c r="C832" s="65" t="s">
        <v>76</v>
      </c>
      <c r="D832" s="65" t="s">
        <v>60</v>
      </c>
      <c r="E832" s="26">
        <v>240</v>
      </c>
      <c r="F832" s="62">
        <f>'прил. 8'!G609</f>
        <v>1155.8</v>
      </c>
      <c r="G832" s="62">
        <f>'прил. 8'!H609</f>
        <v>0</v>
      </c>
      <c r="H832" s="49">
        <f t="shared" si="170"/>
        <v>1155.8</v>
      </c>
      <c r="I832" s="62">
        <f>'прил. 8'!J609</f>
        <v>0</v>
      </c>
      <c r="J832" s="49">
        <f t="shared" si="159"/>
        <v>1155.8</v>
      </c>
      <c r="K832" s="62">
        <f>'прил. 8'!L609</f>
        <v>0</v>
      </c>
      <c r="L832" s="49">
        <f t="shared" si="157"/>
        <v>1155.8</v>
      </c>
      <c r="M832" s="62">
        <f>'прил. 8'!N609</f>
        <v>0</v>
      </c>
      <c r="N832" s="49">
        <f t="shared" si="156"/>
        <v>1155.8</v>
      </c>
    </row>
    <row r="833" spans="1:14" ht="55.5" hidden="1" customHeight="1" x14ac:dyDescent="0.2">
      <c r="A833" s="50" t="str">
        <f ca="1">IF(ISERROR(MATCH(B833,Код_КЦСР,0)),"",INDIRECT(ADDRESS(MATCH(B833,Код_КЦСР,0)+1,2,,,"КЦСР")))</f>
        <v>Исполнение муниципальных гарантий в случае, если исполнение гарантом муниципальных гарантий не ведет к возникновению права регрессного требования к принципалу</v>
      </c>
      <c r="B833" s="79" t="s">
        <v>584</v>
      </c>
      <c r="C833" s="65"/>
      <c r="D833" s="65"/>
      <c r="E833" s="26"/>
      <c r="F833" s="62">
        <f t="shared" ref="F833:M836" si="171">F834</f>
        <v>0</v>
      </c>
      <c r="G833" s="62">
        <f t="shared" si="171"/>
        <v>0</v>
      </c>
      <c r="H833" s="49">
        <f t="shared" si="170"/>
        <v>0</v>
      </c>
      <c r="I833" s="62">
        <f t="shared" si="171"/>
        <v>0</v>
      </c>
      <c r="J833" s="49">
        <f t="shared" si="159"/>
        <v>0</v>
      </c>
      <c r="K833" s="62">
        <f t="shared" si="171"/>
        <v>0</v>
      </c>
      <c r="L833" s="49">
        <f t="shared" si="157"/>
        <v>0</v>
      </c>
      <c r="M833" s="62">
        <f t="shared" si="171"/>
        <v>0</v>
      </c>
      <c r="N833" s="49">
        <f t="shared" si="156"/>
        <v>0</v>
      </c>
    </row>
    <row r="834" spans="1:14" hidden="1" x14ac:dyDescent="0.2">
      <c r="A834" s="50" t="str">
        <f ca="1">IF(ISERROR(MATCH(C834,Код_Раздел,0)),"",INDIRECT(ADDRESS(MATCH(C834,Код_Раздел,0)+1,2,,,"Раздел")))</f>
        <v>Национальная экономика</v>
      </c>
      <c r="B834" s="79" t="s">
        <v>584</v>
      </c>
      <c r="C834" s="65" t="s">
        <v>73</v>
      </c>
      <c r="D834" s="65"/>
      <c r="E834" s="26"/>
      <c r="F834" s="62">
        <f t="shared" si="171"/>
        <v>0</v>
      </c>
      <c r="G834" s="62">
        <f t="shared" si="171"/>
        <v>0</v>
      </c>
      <c r="H834" s="49">
        <f t="shared" si="170"/>
        <v>0</v>
      </c>
      <c r="I834" s="62">
        <f t="shared" si="171"/>
        <v>0</v>
      </c>
      <c r="J834" s="49">
        <f t="shared" si="159"/>
        <v>0</v>
      </c>
      <c r="K834" s="62">
        <f t="shared" si="171"/>
        <v>0</v>
      </c>
      <c r="L834" s="49">
        <f t="shared" si="157"/>
        <v>0</v>
      </c>
      <c r="M834" s="62">
        <f t="shared" si="171"/>
        <v>0</v>
      </c>
      <c r="N834" s="49">
        <f t="shared" si="156"/>
        <v>0</v>
      </c>
    </row>
    <row r="835" spans="1:14" hidden="1" x14ac:dyDescent="0.2">
      <c r="A835" s="51" t="s">
        <v>45</v>
      </c>
      <c r="B835" s="79" t="s">
        <v>584</v>
      </c>
      <c r="C835" s="65" t="s">
        <v>73</v>
      </c>
      <c r="D835" s="65" t="s">
        <v>76</v>
      </c>
      <c r="E835" s="26"/>
      <c r="F835" s="62">
        <f t="shared" si="171"/>
        <v>0</v>
      </c>
      <c r="G835" s="62">
        <f t="shared" si="171"/>
        <v>0</v>
      </c>
      <c r="H835" s="49">
        <f t="shared" si="170"/>
        <v>0</v>
      </c>
      <c r="I835" s="62">
        <f t="shared" si="171"/>
        <v>0</v>
      </c>
      <c r="J835" s="49">
        <f t="shared" si="159"/>
        <v>0</v>
      </c>
      <c r="K835" s="62">
        <f t="shared" si="171"/>
        <v>0</v>
      </c>
      <c r="L835" s="49">
        <f t="shared" si="157"/>
        <v>0</v>
      </c>
      <c r="M835" s="62">
        <f t="shared" si="171"/>
        <v>0</v>
      </c>
      <c r="N835" s="49">
        <f t="shared" si="156"/>
        <v>0</v>
      </c>
    </row>
    <row r="836" spans="1:14" ht="18.75" hidden="1" customHeight="1" x14ac:dyDescent="0.2">
      <c r="A836" s="50" t="str">
        <f ca="1">IF(ISERROR(MATCH(E836,Код_КВР,0)),"",INDIRECT(ADDRESS(MATCH(E836,Код_КВР,0)+1,2,,,"КВР")))</f>
        <v>Иные бюджетные ассигнования</v>
      </c>
      <c r="B836" s="79" t="s">
        <v>584</v>
      </c>
      <c r="C836" s="65" t="s">
        <v>73</v>
      </c>
      <c r="D836" s="65" t="s">
        <v>76</v>
      </c>
      <c r="E836" s="26">
        <v>800</v>
      </c>
      <c r="F836" s="62">
        <f t="shared" si="171"/>
        <v>0</v>
      </c>
      <c r="G836" s="62">
        <f t="shared" si="171"/>
        <v>0</v>
      </c>
      <c r="H836" s="49">
        <f t="shared" si="170"/>
        <v>0</v>
      </c>
      <c r="I836" s="62">
        <f t="shared" si="171"/>
        <v>0</v>
      </c>
      <c r="J836" s="49">
        <f t="shared" si="159"/>
        <v>0</v>
      </c>
      <c r="K836" s="62">
        <f t="shared" si="171"/>
        <v>0</v>
      </c>
      <c r="L836" s="49">
        <f t="shared" si="157"/>
        <v>0</v>
      </c>
      <c r="M836" s="62">
        <f t="shared" si="171"/>
        <v>0</v>
      </c>
      <c r="N836" s="49">
        <f t="shared" si="156"/>
        <v>0</v>
      </c>
    </row>
    <row r="837" spans="1:14" ht="59.25" hidden="1" customHeight="1" x14ac:dyDescent="0.2">
      <c r="A837" s="50" t="str">
        <f ca="1">IF(ISERROR(MATCH(E837,Код_КВР,0)),"",INDIRECT(ADDRESS(MATCH(E837,Код_КВР,0)+1,2,,,"КВР")))</f>
        <v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v>
      </c>
      <c r="B837" s="79" t="s">
        <v>584</v>
      </c>
      <c r="C837" s="65" t="s">
        <v>73</v>
      </c>
      <c r="D837" s="65" t="s">
        <v>76</v>
      </c>
      <c r="E837" s="26">
        <v>840</v>
      </c>
      <c r="F837" s="62">
        <f>'прил. 8'!G527</f>
        <v>0</v>
      </c>
      <c r="G837" s="62">
        <f>'прил. 8'!H527</f>
        <v>0</v>
      </c>
      <c r="H837" s="49">
        <f t="shared" si="170"/>
        <v>0</v>
      </c>
      <c r="I837" s="62">
        <f>'прил. 8'!J527</f>
        <v>0</v>
      </c>
      <c r="J837" s="49">
        <f t="shared" si="159"/>
        <v>0</v>
      </c>
      <c r="K837" s="62">
        <f>'прил. 8'!L527</f>
        <v>0</v>
      </c>
      <c r="L837" s="49">
        <f t="shared" si="157"/>
        <v>0</v>
      </c>
      <c r="M837" s="62">
        <f>'прил. 8'!N527</f>
        <v>0</v>
      </c>
      <c r="N837" s="49">
        <f t="shared" si="156"/>
        <v>0</v>
      </c>
    </row>
    <row r="838" spans="1:14" ht="60" hidden="1" customHeight="1" x14ac:dyDescent="0.2">
      <c r="A838" s="50" t="str">
        <f ca="1">IF(ISERROR(MATCH(B838,Код_КЦСР,0)),"",INDIRECT(ADDRESS(MATCH(B838,Код_КЦСР,0)+1,2,,,"КЦСР")))</f>
        <v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v>
      </c>
      <c r="B838" s="79" t="s">
        <v>529</v>
      </c>
      <c r="C838" s="65"/>
      <c r="D838" s="65"/>
      <c r="E838" s="26"/>
      <c r="F838" s="62">
        <f t="shared" ref="F838:M842" si="172">F839</f>
        <v>0</v>
      </c>
      <c r="G838" s="62">
        <f t="shared" si="172"/>
        <v>0</v>
      </c>
      <c r="H838" s="49">
        <f t="shared" si="170"/>
        <v>0</v>
      </c>
      <c r="I838" s="62">
        <f t="shared" si="172"/>
        <v>0</v>
      </c>
      <c r="J838" s="49">
        <f t="shared" si="159"/>
        <v>0</v>
      </c>
      <c r="K838" s="62">
        <f t="shared" si="172"/>
        <v>0</v>
      </c>
      <c r="L838" s="49">
        <f t="shared" si="157"/>
        <v>0</v>
      </c>
      <c r="M838" s="62">
        <f t="shared" si="172"/>
        <v>0</v>
      </c>
      <c r="N838" s="49">
        <f t="shared" si="156"/>
        <v>0</v>
      </c>
    </row>
    <row r="839" spans="1:14" ht="69.75" hidden="1" customHeight="1" x14ac:dyDescent="0.2">
      <c r="A839" s="50" t="str">
        <f ca="1">IF(ISERROR(MATCH(B839,Код_КЦСР,0)),"",INDIRECT(ADDRESS(MATCH(B839,Код_КЦСР,0)+1,2,,,"КЦСР")))</f>
        <v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граждан, за счет средств областного бюджета</v>
      </c>
      <c r="B839" s="79" t="s">
        <v>527</v>
      </c>
      <c r="C839" s="65"/>
      <c r="D839" s="65"/>
      <c r="E839" s="26"/>
      <c r="F839" s="62">
        <f t="shared" si="172"/>
        <v>0</v>
      </c>
      <c r="G839" s="62">
        <f t="shared" si="172"/>
        <v>0</v>
      </c>
      <c r="H839" s="49">
        <f t="shared" si="170"/>
        <v>0</v>
      </c>
      <c r="I839" s="62">
        <f t="shared" si="172"/>
        <v>0</v>
      </c>
      <c r="J839" s="49">
        <f t="shared" si="159"/>
        <v>0</v>
      </c>
      <c r="K839" s="62">
        <f t="shared" si="172"/>
        <v>0</v>
      </c>
      <c r="L839" s="49">
        <f t="shared" si="157"/>
        <v>0</v>
      </c>
      <c r="M839" s="62">
        <f t="shared" si="172"/>
        <v>0</v>
      </c>
      <c r="N839" s="49">
        <f t="shared" si="156"/>
        <v>0</v>
      </c>
    </row>
    <row r="840" spans="1:14" hidden="1" x14ac:dyDescent="0.2">
      <c r="A840" s="50" t="str">
        <f ca="1">IF(ISERROR(MATCH(C840,Код_Раздел,0)),"",INDIRECT(ADDRESS(MATCH(C840,Код_Раздел,0)+1,2,,,"Раздел")))</f>
        <v>Национальная экономика</v>
      </c>
      <c r="B840" s="79" t="s">
        <v>527</v>
      </c>
      <c r="C840" s="65" t="s">
        <v>73</v>
      </c>
      <c r="D840" s="65"/>
      <c r="E840" s="26"/>
      <c r="F840" s="62">
        <f t="shared" si="172"/>
        <v>0</v>
      </c>
      <c r="G840" s="62">
        <f t="shared" si="172"/>
        <v>0</v>
      </c>
      <c r="H840" s="49">
        <f t="shared" si="170"/>
        <v>0</v>
      </c>
      <c r="I840" s="62">
        <f t="shared" si="172"/>
        <v>0</v>
      </c>
      <c r="J840" s="49">
        <f t="shared" si="159"/>
        <v>0</v>
      </c>
      <c r="K840" s="62">
        <f t="shared" si="172"/>
        <v>0</v>
      </c>
      <c r="L840" s="49">
        <f t="shared" si="157"/>
        <v>0</v>
      </c>
      <c r="M840" s="62">
        <f t="shared" si="172"/>
        <v>0</v>
      </c>
      <c r="N840" s="49">
        <f t="shared" si="156"/>
        <v>0</v>
      </c>
    </row>
    <row r="841" spans="1:14" hidden="1" x14ac:dyDescent="0.2">
      <c r="A841" s="51" t="s">
        <v>45</v>
      </c>
      <c r="B841" s="79" t="s">
        <v>527</v>
      </c>
      <c r="C841" s="65" t="s">
        <v>73</v>
      </c>
      <c r="D841" s="65" t="s">
        <v>76</v>
      </c>
      <c r="E841" s="26"/>
      <c r="F841" s="62">
        <f t="shared" si="172"/>
        <v>0</v>
      </c>
      <c r="G841" s="62">
        <f t="shared" si="172"/>
        <v>0</v>
      </c>
      <c r="H841" s="49">
        <f t="shared" si="170"/>
        <v>0</v>
      </c>
      <c r="I841" s="62">
        <f t="shared" si="172"/>
        <v>0</v>
      </c>
      <c r="J841" s="49">
        <f t="shared" si="159"/>
        <v>0</v>
      </c>
      <c r="K841" s="62">
        <f t="shared" si="172"/>
        <v>0</v>
      </c>
      <c r="L841" s="49">
        <f t="shared" si="157"/>
        <v>0</v>
      </c>
      <c r="M841" s="62">
        <f t="shared" si="172"/>
        <v>0</v>
      </c>
      <c r="N841" s="49">
        <f t="shared" si="156"/>
        <v>0</v>
      </c>
    </row>
    <row r="842" spans="1:14" ht="33" hidden="1" x14ac:dyDescent="0.2">
      <c r="A842" s="50" t="str">
        <f ca="1">IF(ISERROR(MATCH(E842,Код_КВР,0)),"",INDIRECT(ADDRESS(MATCH(E842,Код_КВР,0)+1,2,,,"КВР")))</f>
        <v>Закупка товаров, работ и услуг для обеспечения государственных (муниципальных) нужд</v>
      </c>
      <c r="B842" s="79" t="s">
        <v>527</v>
      </c>
      <c r="C842" s="65" t="s">
        <v>73</v>
      </c>
      <c r="D842" s="65" t="s">
        <v>76</v>
      </c>
      <c r="E842" s="26">
        <v>200</v>
      </c>
      <c r="F842" s="62">
        <f t="shared" si="172"/>
        <v>0</v>
      </c>
      <c r="G842" s="62">
        <f t="shared" si="172"/>
        <v>0</v>
      </c>
      <c r="H842" s="49">
        <f t="shared" si="170"/>
        <v>0</v>
      </c>
      <c r="I842" s="62">
        <f t="shared" si="172"/>
        <v>0</v>
      </c>
      <c r="J842" s="49">
        <f t="shared" si="159"/>
        <v>0</v>
      </c>
      <c r="K842" s="62">
        <f t="shared" si="172"/>
        <v>0</v>
      </c>
      <c r="L842" s="49">
        <f t="shared" si="157"/>
        <v>0</v>
      </c>
      <c r="M842" s="62">
        <f t="shared" si="172"/>
        <v>0</v>
      </c>
      <c r="N842" s="49">
        <f t="shared" si="156"/>
        <v>0</v>
      </c>
    </row>
    <row r="843" spans="1:14" ht="33" hidden="1" x14ac:dyDescent="0.2">
      <c r="A843" s="50" t="str">
        <f ca="1">IF(ISERROR(MATCH(E843,Код_КВР,0)),"",INDIRECT(ADDRESS(MATCH(E843,Код_КВР,0)+1,2,,,"КВР")))</f>
        <v>Иные закупки товаров, работ и услуг для обеспечения государственных (муниципальных) нужд</v>
      </c>
      <c r="B843" s="79" t="s">
        <v>527</v>
      </c>
      <c r="C843" s="65" t="s">
        <v>73</v>
      </c>
      <c r="D843" s="65" t="s">
        <v>76</v>
      </c>
      <c r="E843" s="26">
        <v>240</v>
      </c>
      <c r="F843" s="62">
        <f>'прил. 8'!G531</f>
        <v>0</v>
      </c>
      <c r="G843" s="62">
        <f>'прил. 8'!H531</f>
        <v>0</v>
      </c>
      <c r="H843" s="49">
        <f t="shared" si="170"/>
        <v>0</v>
      </c>
      <c r="I843" s="62">
        <f>'прил. 8'!J531</f>
        <v>0</v>
      </c>
      <c r="J843" s="49">
        <f t="shared" si="159"/>
        <v>0</v>
      </c>
      <c r="K843" s="62">
        <f>'прил. 8'!L531</f>
        <v>0</v>
      </c>
      <c r="L843" s="49">
        <f t="shared" si="157"/>
        <v>0</v>
      </c>
      <c r="M843" s="62">
        <f>'прил. 8'!N531</f>
        <v>0</v>
      </c>
      <c r="N843" s="49">
        <f t="shared" si="156"/>
        <v>0</v>
      </c>
    </row>
    <row r="844" spans="1:14" x14ac:dyDescent="0.2">
      <c r="A844" s="50" t="str">
        <f ca="1">IF(ISERROR(MATCH(B844,Код_КЦСР,0)),"",INDIRECT(ADDRESS(MATCH(B844,Код_КЦСР,0)+1,2,,,"КЦСР")))</f>
        <v>Содержание и ремонт жилищного фонда</v>
      </c>
      <c r="B844" s="79" t="s">
        <v>350</v>
      </c>
      <c r="C844" s="65"/>
      <c r="D844" s="46"/>
      <c r="E844" s="26"/>
      <c r="F844" s="62">
        <f>F845+F850+F855+F860</f>
        <v>35467.300000000003</v>
      </c>
      <c r="G844" s="62">
        <f>G845+G850+G855+G860</f>
        <v>0</v>
      </c>
      <c r="H844" s="49">
        <f t="shared" si="170"/>
        <v>35467.300000000003</v>
      </c>
      <c r="I844" s="62">
        <f>I845+I850+I855+I860</f>
        <v>-1.1000000000000001</v>
      </c>
      <c r="J844" s="49">
        <f t="shared" si="159"/>
        <v>35466.200000000004</v>
      </c>
      <c r="K844" s="62">
        <f>K845+K850+K855+K860+K865</f>
        <v>5528.3</v>
      </c>
      <c r="L844" s="49">
        <f t="shared" si="157"/>
        <v>40994.500000000007</v>
      </c>
      <c r="M844" s="62">
        <f>M845+M850+M855+M860+M865</f>
        <v>-65.7</v>
      </c>
      <c r="N844" s="49">
        <f t="shared" si="156"/>
        <v>40928.80000000001</v>
      </c>
    </row>
    <row r="845" spans="1:14" x14ac:dyDescent="0.2">
      <c r="A845" s="50" t="str">
        <f ca="1">IF(ISERROR(MATCH(B845,Код_КЦСР,0)),"",INDIRECT(ADDRESS(MATCH(B845,Код_КЦСР,0)+1,2,,,"КЦСР")))</f>
        <v>Капитальный ремонт жилищного фонда</v>
      </c>
      <c r="B845" s="79" t="s">
        <v>351</v>
      </c>
      <c r="C845" s="65"/>
      <c r="D845" s="46"/>
      <c r="E845" s="26"/>
      <c r="F845" s="62">
        <f t="shared" ref="F845:M848" si="173">F846</f>
        <v>500</v>
      </c>
      <c r="G845" s="62">
        <f t="shared" si="173"/>
        <v>0</v>
      </c>
      <c r="H845" s="49">
        <f t="shared" si="170"/>
        <v>500</v>
      </c>
      <c r="I845" s="62">
        <f t="shared" si="173"/>
        <v>0</v>
      </c>
      <c r="J845" s="49">
        <f t="shared" si="159"/>
        <v>500</v>
      </c>
      <c r="K845" s="62">
        <f t="shared" si="173"/>
        <v>0</v>
      </c>
      <c r="L845" s="49">
        <f t="shared" si="157"/>
        <v>500</v>
      </c>
      <c r="M845" s="62">
        <f t="shared" si="173"/>
        <v>0</v>
      </c>
      <c r="N845" s="49">
        <f t="shared" si="156"/>
        <v>500</v>
      </c>
    </row>
    <row r="846" spans="1:14" x14ac:dyDescent="0.2">
      <c r="A846" s="50" t="str">
        <f ca="1">IF(ISERROR(MATCH(C846,Код_Раздел,0)),"",INDIRECT(ADDRESS(MATCH(C846,Код_Раздел,0)+1,2,,,"Раздел")))</f>
        <v>Жилищно-коммунальное хозяйство</v>
      </c>
      <c r="B846" s="79" t="s">
        <v>351</v>
      </c>
      <c r="C846" s="65" t="s">
        <v>78</v>
      </c>
      <c r="D846" s="46"/>
      <c r="E846" s="26"/>
      <c r="F846" s="62">
        <f t="shared" si="173"/>
        <v>500</v>
      </c>
      <c r="G846" s="62">
        <f t="shared" si="173"/>
        <v>0</v>
      </c>
      <c r="H846" s="49">
        <f t="shared" si="170"/>
        <v>500</v>
      </c>
      <c r="I846" s="62">
        <f t="shared" si="173"/>
        <v>0</v>
      </c>
      <c r="J846" s="49">
        <f t="shared" si="159"/>
        <v>500</v>
      </c>
      <c r="K846" s="62">
        <f t="shared" si="173"/>
        <v>0</v>
      </c>
      <c r="L846" s="49">
        <f t="shared" si="157"/>
        <v>500</v>
      </c>
      <c r="M846" s="62">
        <f t="shared" si="173"/>
        <v>0</v>
      </c>
      <c r="N846" s="49">
        <f t="shared" si="156"/>
        <v>500</v>
      </c>
    </row>
    <row r="847" spans="1:14" x14ac:dyDescent="0.2">
      <c r="A847" s="45" t="s">
        <v>83</v>
      </c>
      <c r="B847" s="79" t="s">
        <v>351</v>
      </c>
      <c r="C847" s="65" t="s">
        <v>78</v>
      </c>
      <c r="D847" s="65" t="s">
        <v>70</v>
      </c>
      <c r="E847" s="26"/>
      <c r="F847" s="62">
        <f t="shared" si="173"/>
        <v>500</v>
      </c>
      <c r="G847" s="62">
        <f t="shared" si="173"/>
        <v>0</v>
      </c>
      <c r="H847" s="49">
        <f t="shared" si="170"/>
        <v>500</v>
      </c>
      <c r="I847" s="62">
        <f t="shared" si="173"/>
        <v>0</v>
      </c>
      <c r="J847" s="49">
        <f t="shared" si="159"/>
        <v>500</v>
      </c>
      <c r="K847" s="62">
        <f t="shared" si="173"/>
        <v>0</v>
      </c>
      <c r="L847" s="49">
        <f t="shared" si="157"/>
        <v>500</v>
      </c>
      <c r="M847" s="62">
        <f t="shared" si="173"/>
        <v>0</v>
      </c>
      <c r="N847" s="49">
        <f t="shared" si="156"/>
        <v>500</v>
      </c>
    </row>
    <row r="848" spans="1:14" ht="33" x14ac:dyDescent="0.2">
      <c r="A848" s="50" t="str">
        <f ca="1">IF(ISERROR(MATCH(E848,Код_КВР,0)),"",INDIRECT(ADDRESS(MATCH(E848,Код_КВР,0)+1,2,,,"КВР")))</f>
        <v>Закупка товаров, работ и услуг для обеспечения государственных (муниципальных) нужд</v>
      </c>
      <c r="B848" s="79" t="s">
        <v>351</v>
      </c>
      <c r="C848" s="65" t="s">
        <v>78</v>
      </c>
      <c r="D848" s="65" t="s">
        <v>70</v>
      </c>
      <c r="E848" s="26">
        <v>200</v>
      </c>
      <c r="F848" s="62">
        <f t="shared" si="173"/>
        <v>500</v>
      </c>
      <c r="G848" s="62">
        <f t="shared" si="173"/>
        <v>0</v>
      </c>
      <c r="H848" s="49">
        <f t="shared" si="170"/>
        <v>500</v>
      </c>
      <c r="I848" s="62">
        <f t="shared" si="173"/>
        <v>0</v>
      </c>
      <c r="J848" s="49">
        <f t="shared" si="159"/>
        <v>500</v>
      </c>
      <c r="K848" s="62">
        <f t="shared" si="173"/>
        <v>0</v>
      </c>
      <c r="L848" s="49">
        <f t="shared" si="157"/>
        <v>500</v>
      </c>
      <c r="M848" s="62">
        <f t="shared" si="173"/>
        <v>0</v>
      </c>
      <c r="N848" s="49">
        <f t="shared" si="156"/>
        <v>500</v>
      </c>
    </row>
    <row r="849" spans="1:14" ht="33" x14ac:dyDescent="0.2">
      <c r="A849" s="50" t="str">
        <f ca="1">IF(ISERROR(MATCH(E849,Код_КВР,0)),"",INDIRECT(ADDRESS(MATCH(E849,Код_КВР,0)+1,2,,,"КВР")))</f>
        <v>Иные закупки товаров, работ и услуг для обеспечения государственных (муниципальных) нужд</v>
      </c>
      <c r="B849" s="79" t="s">
        <v>351</v>
      </c>
      <c r="C849" s="65" t="s">
        <v>78</v>
      </c>
      <c r="D849" s="65" t="s">
        <v>70</v>
      </c>
      <c r="E849" s="26">
        <v>240</v>
      </c>
      <c r="F849" s="62">
        <f>'прил. 8'!G557</f>
        <v>500</v>
      </c>
      <c r="G849" s="62">
        <f>'прил. 8'!H557</f>
        <v>0</v>
      </c>
      <c r="H849" s="49">
        <f t="shared" si="170"/>
        <v>500</v>
      </c>
      <c r="I849" s="62">
        <f>'прил. 8'!J557</f>
        <v>0</v>
      </c>
      <c r="J849" s="49">
        <f t="shared" si="159"/>
        <v>500</v>
      </c>
      <c r="K849" s="62">
        <f>'прил. 8'!L557</f>
        <v>0</v>
      </c>
      <c r="L849" s="49">
        <f t="shared" si="157"/>
        <v>500</v>
      </c>
      <c r="M849" s="62">
        <f>'прил. 8'!N557</f>
        <v>0</v>
      </c>
      <c r="N849" s="49">
        <f t="shared" si="156"/>
        <v>500</v>
      </c>
    </row>
    <row r="850" spans="1:14" ht="33" x14ac:dyDescent="0.2">
      <c r="A850" s="50" t="str">
        <f ca="1">IF(ISERROR(MATCH(B850,Код_КЦСР,0)),"",INDIRECT(ADDRESS(MATCH(B850,Код_КЦСР,0)+1,2,,,"КЦСР")))</f>
        <v>Содержание и ремонт временно незаселенных жилых помещений муниципального жилищного фонда</v>
      </c>
      <c r="B850" s="79" t="s">
        <v>352</v>
      </c>
      <c r="C850" s="65"/>
      <c r="D850" s="65"/>
      <c r="E850" s="26"/>
      <c r="F850" s="62">
        <f>F851</f>
        <v>3484.1</v>
      </c>
      <c r="G850" s="62">
        <f>G851</f>
        <v>0</v>
      </c>
      <c r="H850" s="49">
        <f t="shared" si="170"/>
        <v>3484.1</v>
      </c>
      <c r="I850" s="62">
        <f>I851</f>
        <v>0</v>
      </c>
      <c r="J850" s="49">
        <f t="shared" si="159"/>
        <v>3484.1</v>
      </c>
      <c r="K850" s="62">
        <f>K851</f>
        <v>0</v>
      </c>
      <c r="L850" s="49">
        <f t="shared" si="157"/>
        <v>3484.1</v>
      </c>
      <c r="M850" s="62">
        <f>M851</f>
        <v>0</v>
      </c>
      <c r="N850" s="49">
        <f t="shared" ref="N850:N913" si="174">L850+M850</f>
        <v>3484.1</v>
      </c>
    </row>
    <row r="851" spans="1:14" x14ac:dyDescent="0.2">
      <c r="A851" s="50" t="str">
        <f ca="1">IF(ISERROR(MATCH(C851,Код_Раздел,0)),"",INDIRECT(ADDRESS(MATCH(C851,Код_Раздел,0)+1,2,,,"Раздел")))</f>
        <v>Жилищно-коммунальное хозяйство</v>
      </c>
      <c r="B851" s="79" t="s">
        <v>352</v>
      </c>
      <c r="C851" s="65" t="s">
        <v>78</v>
      </c>
      <c r="D851" s="46"/>
      <c r="E851" s="26"/>
      <c r="F851" s="62">
        <f t="shared" ref="F851:M853" si="175">F852</f>
        <v>3484.1</v>
      </c>
      <c r="G851" s="62">
        <f t="shared" si="175"/>
        <v>0</v>
      </c>
      <c r="H851" s="49">
        <f t="shared" si="170"/>
        <v>3484.1</v>
      </c>
      <c r="I851" s="62">
        <f t="shared" si="175"/>
        <v>0</v>
      </c>
      <c r="J851" s="49">
        <f t="shared" si="159"/>
        <v>3484.1</v>
      </c>
      <c r="K851" s="62">
        <f t="shared" si="175"/>
        <v>0</v>
      </c>
      <c r="L851" s="49">
        <f t="shared" si="157"/>
        <v>3484.1</v>
      </c>
      <c r="M851" s="62">
        <f t="shared" si="175"/>
        <v>0</v>
      </c>
      <c r="N851" s="49">
        <f t="shared" si="174"/>
        <v>3484.1</v>
      </c>
    </row>
    <row r="852" spans="1:14" x14ac:dyDescent="0.2">
      <c r="A852" s="45" t="s">
        <v>83</v>
      </c>
      <c r="B852" s="79" t="s">
        <v>352</v>
      </c>
      <c r="C852" s="65" t="s">
        <v>78</v>
      </c>
      <c r="D852" s="65" t="s">
        <v>70</v>
      </c>
      <c r="E852" s="26"/>
      <c r="F852" s="62">
        <f t="shared" si="175"/>
        <v>3484.1</v>
      </c>
      <c r="G852" s="62">
        <f t="shared" si="175"/>
        <v>0</v>
      </c>
      <c r="H852" s="49">
        <f t="shared" si="170"/>
        <v>3484.1</v>
      </c>
      <c r="I852" s="62">
        <f t="shared" si="175"/>
        <v>0</v>
      </c>
      <c r="J852" s="49">
        <f t="shared" si="159"/>
        <v>3484.1</v>
      </c>
      <c r="K852" s="62">
        <f t="shared" si="175"/>
        <v>0</v>
      </c>
      <c r="L852" s="49">
        <f t="shared" ref="L852:L915" si="176">J852+K852</f>
        <v>3484.1</v>
      </c>
      <c r="M852" s="62">
        <f t="shared" si="175"/>
        <v>0</v>
      </c>
      <c r="N852" s="49">
        <f t="shared" si="174"/>
        <v>3484.1</v>
      </c>
    </row>
    <row r="853" spans="1:14" ht="33" x14ac:dyDescent="0.2">
      <c r="A853" s="50" t="str">
        <f ca="1">IF(ISERROR(MATCH(E853,Код_КВР,0)),"",INDIRECT(ADDRESS(MATCH(E853,Код_КВР,0)+1,2,,,"КВР")))</f>
        <v>Закупка товаров, работ и услуг для обеспечения государственных (муниципальных) нужд</v>
      </c>
      <c r="B853" s="79" t="s">
        <v>352</v>
      </c>
      <c r="C853" s="65" t="s">
        <v>78</v>
      </c>
      <c r="D853" s="65" t="s">
        <v>70</v>
      </c>
      <c r="E853" s="26">
        <v>200</v>
      </c>
      <c r="F853" s="62">
        <f t="shared" si="175"/>
        <v>3484.1</v>
      </c>
      <c r="G853" s="62">
        <f t="shared" si="175"/>
        <v>0</v>
      </c>
      <c r="H853" s="49">
        <f t="shared" si="170"/>
        <v>3484.1</v>
      </c>
      <c r="I853" s="62">
        <f t="shared" si="175"/>
        <v>0</v>
      </c>
      <c r="J853" s="49">
        <f t="shared" si="159"/>
        <v>3484.1</v>
      </c>
      <c r="K853" s="62">
        <f t="shared" si="175"/>
        <v>0</v>
      </c>
      <c r="L853" s="49">
        <f t="shared" si="176"/>
        <v>3484.1</v>
      </c>
      <c r="M853" s="62">
        <f t="shared" si="175"/>
        <v>0</v>
      </c>
      <c r="N853" s="49">
        <f t="shared" si="174"/>
        <v>3484.1</v>
      </c>
    </row>
    <row r="854" spans="1:14" ht="33" x14ac:dyDescent="0.2">
      <c r="A854" s="50" t="str">
        <f ca="1">IF(ISERROR(MATCH(E854,Код_КВР,0)),"",INDIRECT(ADDRESS(MATCH(E854,Код_КВР,0)+1,2,,,"КВР")))</f>
        <v>Иные закупки товаров, работ и услуг для обеспечения государственных (муниципальных) нужд</v>
      </c>
      <c r="B854" s="79" t="s">
        <v>352</v>
      </c>
      <c r="C854" s="65" t="s">
        <v>78</v>
      </c>
      <c r="D854" s="65" t="s">
        <v>70</v>
      </c>
      <c r="E854" s="26">
        <v>240</v>
      </c>
      <c r="F854" s="62">
        <f>'прил. 8'!G560</f>
        <v>3484.1</v>
      </c>
      <c r="G854" s="62">
        <f>'прил. 8'!H560</f>
        <v>0</v>
      </c>
      <c r="H854" s="49">
        <f t="shared" si="170"/>
        <v>3484.1</v>
      </c>
      <c r="I854" s="62">
        <f>'прил. 8'!J560</f>
        <v>0</v>
      </c>
      <c r="J854" s="49">
        <f t="shared" si="159"/>
        <v>3484.1</v>
      </c>
      <c r="K854" s="62">
        <f>'прил. 8'!L560</f>
        <v>0</v>
      </c>
      <c r="L854" s="49">
        <f t="shared" si="176"/>
        <v>3484.1</v>
      </c>
      <c r="M854" s="62">
        <f>'прил. 8'!N560</f>
        <v>0</v>
      </c>
      <c r="N854" s="49">
        <f t="shared" si="174"/>
        <v>3484.1</v>
      </c>
    </row>
    <row r="855" spans="1:14" ht="33" x14ac:dyDescent="0.2">
      <c r="A855" s="50" t="str">
        <f ca="1">IF(ISERROR(MATCH(B855,Код_КЦСР,0)),"",INDIRECT(ADDRESS(MATCH(B855,Код_КЦСР,0)+1,2,,,"КЦСР")))</f>
        <v>Осуществление полномочий собственника муниципального жилищного фонда в части внесения взносов в фонд капитального ремонта</v>
      </c>
      <c r="B855" s="79" t="s">
        <v>353</v>
      </c>
      <c r="C855" s="65"/>
      <c r="D855" s="65"/>
      <c r="E855" s="26"/>
      <c r="F855" s="62">
        <f t="shared" ref="F855:M858" si="177">F856</f>
        <v>20983.200000000001</v>
      </c>
      <c r="G855" s="62">
        <f t="shared" si="177"/>
        <v>0</v>
      </c>
      <c r="H855" s="49">
        <f t="shared" si="170"/>
        <v>20983.200000000001</v>
      </c>
      <c r="I855" s="62">
        <f t="shared" si="177"/>
        <v>-1.1000000000000001</v>
      </c>
      <c r="J855" s="49">
        <f t="shared" si="159"/>
        <v>20982.100000000002</v>
      </c>
      <c r="K855" s="62">
        <f t="shared" si="177"/>
        <v>-744</v>
      </c>
      <c r="L855" s="49">
        <f t="shared" si="176"/>
        <v>20238.100000000002</v>
      </c>
      <c r="M855" s="62">
        <f t="shared" si="177"/>
        <v>-65.7</v>
      </c>
      <c r="N855" s="49">
        <f t="shared" si="174"/>
        <v>20172.400000000001</v>
      </c>
    </row>
    <row r="856" spans="1:14" x14ac:dyDescent="0.2">
      <c r="A856" s="50" t="str">
        <f ca="1">IF(ISERROR(MATCH(C856,Код_Раздел,0)),"",INDIRECT(ADDRESS(MATCH(C856,Код_Раздел,0)+1,2,,,"Раздел")))</f>
        <v>Жилищно-коммунальное хозяйство</v>
      </c>
      <c r="B856" s="79" t="s">
        <v>353</v>
      </c>
      <c r="C856" s="65" t="s">
        <v>78</v>
      </c>
      <c r="D856" s="46"/>
      <c r="E856" s="26"/>
      <c r="F856" s="62">
        <f t="shared" si="177"/>
        <v>20983.200000000001</v>
      </c>
      <c r="G856" s="62">
        <f t="shared" si="177"/>
        <v>0</v>
      </c>
      <c r="H856" s="49">
        <f t="shared" si="170"/>
        <v>20983.200000000001</v>
      </c>
      <c r="I856" s="62">
        <f t="shared" si="177"/>
        <v>-1.1000000000000001</v>
      </c>
      <c r="J856" s="49">
        <f t="shared" si="159"/>
        <v>20982.100000000002</v>
      </c>
      <c r="K856" s="62">
        <f t="shared" si="177"/>
        <v>-744</v>
      </c>
      <c r="L856" s="49">
        <f t="shared" si="176"/>
        <v>20238.100000000002</v>
      </c>
      <c r="M856" s="62">
        <f t="shared" si="177"/>
        <v>-65.7</v>
      </c>
      <c r="N856" s="49">
        <f t="shared" si="174"/>
        <v>20172.400000000001</v>
      </c>
    </row>
    <row r="857" spans="1:14" x14ac:dyDescent="0.2">
      <c r="A857" s="45" t="s">
        <v>83</v>
      </c>
      <c r="B857" s="79" t="s">
        <v>353</v>
      </c>
      <c r="C857" s="65" t="s">
        <v>78</v>
      </c>
      <c r="D857" s="65" t="s">
        <v>70</v>
      </c>
      <c r="E857" s="26"/>
      <c r="F857" s="62">
        <f t="shared" si="177"/>
        <v>20983.200000000001</v>
      </c>
      <c r="G857" s="62">
        <f t="shared" si="177"/>
        <v>0</v>
      </c>
      <c r="H857" s="49">
        <f t="shared" si="170"/>
        <v>20983.200000000001</v>
      </c>
      <c r="I857" s="62">
        <f t="shared" si="177"/>
        <v>-1.1000000000000001</v>
      </c>
      <c r="J857" s="49">
        <f t="shared" si="159"/>
        <v>20982.100000000002</v>
      </c>
      <c r="K857" s="62">
        <f t="shared" si="177"/>
        <v>-744</v>
      </c>
      <c r="L857" s="49">
        <f t="shared" si="176"/>
        <v>20238.100000000002</v>
      </c>
      <c r="M857" s="62">
        <f t="shared" si="177"/>
        <v>-65.7</v>
      </c>
      <c r="N857" s="49">
        <f t="shared" si="174"/>
        <v>20172.400000000001</v>
      </c>
    </row>
    <row r="858" spans="1:14" ht="33" x14ac:dyDescent="0.2">
      <c r="A858" s="50" t="str">
        <f ca="1">IF(ISERROR(MATCH(E858,Код_КВР,0)),"",INDIRECT(ADDRESS(MATCH(E858,Код_КВР,0)+1,2,,,"КВР")))</f>
        <v>Закупка товаров, работ и услуг для обеспечения государственных (муниципальных) нужд</v>
      </c>
      <c r="B858" s="79" t="s">
        <v>353</v>
      </c>
      <c r="C858" s="65" t="s">
        <v>78</v>
      </c>
      <c r="D858" s="65" t="s">
        <v>70</v>
      </c>
      <c r="E858" s="26">
        <v>200</v>
      </c>
      <c r="F858" s="62">
        <f t="shared" si="177"/>
        <v>20983.200000000001</v>
      </c>
      <c r="G858" s="62">
        <f t="shared" si="177"/>
        <v>0</v>
      </c>
      <c r="H858" s="49">
        <f t="shared" si="170"/>
        <v>20983.200000000001</v>
      </c>
      <c r="I858" s="62">
        <f t="shared" si="177"/>
        <v>-1.1000000000000001</v>
      </c>
      <c r="J858" s="49">
        <f t="shared" si="159"/>
        <v>20982.100000000002</v>
      </c>
      <c r="K858" s="62">
        <f t="shared" si="177"/>
        <v>-744</v>
      </c>
      <c r="L858" s="49">
        <f t="shared" si="176"/>
        <v>20238.100000000002</v>
      </c>
      <c r="M858" s="62">
        <f t="shared" si="177"/>
        <v>-65.7</v>
      </c>
      <c r="N858" s="49">
        <f t="shared" si="174"/>
        <v>20172.400000000001</v>
      </c>
    </row>
    <row r="859" spans="1:14" ht="33" x14ac:dyDescent="0.2">
      <c r="A859" s="50" t="str">
        <f ca="1">IF(ISERROR(MATCH(E859,Код_КВР,0)),"",INDIRECT(ADDRESS(MATCH(E859,Код_КВР,0)+1,2,,,"КВР")))</f>
        <v>Иные закупки товаров, работ и услуг для обеспечения государственных (муниципальных) нужд</v>
      </c>
      <c r="B859" s="79" t="s">
        <v>353</v>
      </c>
      <c r="C859" s="65" t="s">
        <v>78</v>
      </c>
      <c r="D859" s="65" t="s">
        <v>70</v>
      </c>
      <c r="E859" s="26">
        <v>240</v>
      </c>
      <c r="F859" s="62">
        <f>'прил. 8'!G563</f>
        <v>20983.200000000001</v>
      </c>
      <c r="G859" s="62">
        <f>'прил. 8'!H563</f>
        <v>0</v>
      </c>
      <c r="H859" s="49">
        <f t="shared" si="170"/>
        <v>20983.200000000001</v>
      </c>
      <c r="I859" s="62">
        <f>'прил. 8'!J563</f>
        <v>-1.1000000000000001</v>
      </c>
      <c r="J859" s="49">
        <f t="shared" si="159"/>
        <v>20982.100000000002</v>
      </c>
      <c r="K859" s="62">
        <f>'прил. 8'!L563</f>
        <v>-744</v>
      </c>
      <c r="L859" s="49">
        <f t="shared" si="176"/>
        <v>20238.100000000002</v>
      </c>
      <c r="M859" s="62">
        <f>'прил. 8'!N563</f>
        <v>-65.7</v>
      </c>
      <c r="N859" s="49">
        <f t="shared" si="174"/>
        <v>20172.400000000001</v>
      </c>
    </row>
    <row r="860" spans="1:14" ht="33" x14ac:dyDescent="0.2">
      <c r="A860" s="50" t="str">
        <f ca="1">IF(ISERROR(MATCH(B860,Код_КЦСР,0)),"",INDIRECT(ADDRESS(MATCH(B860,Код_КЦСР,0)+1,2,,,"КЦСР")))</f>
        <v>Предоставление финансовой поддержки в виде субсидий на капитальный ремонт жилищного фонда (включая установку элементов благоустройства)</v>
      </c>
      <c r="B860" s="79" t="s">
        <v>452</v>
      </c>
      <c r="C860" s="65"/>
      <c r="D860" s="65"/>
      <c r="E860" s="26"/>
      <c r="F860" s="62">
        <f t="shared" ref="F860:M863" si="178">F861</f>
        <v>10500</v>
      </c>
      <c r="G860" s="62">
        <f t="shared" si="178"/>
        <v>0</v>
      </c>
      <c r="H860" s="49">
        <f t="shared" si="170"/>
        <v>10500</v>
      </c>
      <c r="I860" s="62">
        <f t="shared" si="178"/>
        <v>0</v>
      </c>
      <c r="J860" s="49">
        <f t="shared" si="159"/>
        <v>10500</v>
      </c>
      <c r="K860" s="62">
        <f t="shared" si="178"/>
        <v>0</v>
      </c>
      <c r="L860" s="49">
        <f t="shared" si="176"/>
        <v>10500</v>
      </c>
      <c r="M860" s="62">
        <f t="shared" si="178"/>
        <v>0</v>
      </c>
      <c r="N860" s="49">
        <f t="shared" si="174"/>
        <v>10500</v>
      </c>
    </row>
    <row r="861" spans="1:14" x14ac:dyDescent="0.2">
      <c r="A861" s="50" t="str">
        <f ca="1">IF(ISERROR(MATCH(C861,Код_Раздел,0)),"",INDIRECT(ADDRESS(MATCH(C861,Код_Раздел,0)+1,2,,,"Раздел")))</f>
        <v>Жилищно-коммунальное хозяйство</v>
      </c>
      <c r="B861" s="79" t="s">
        <v>452</v>
      </c>
      <c r="C861" s="65" t="s">
        <v>78</v>
      </c>
      <c r="D861" s="46"/>
      <c r="E861" s="26"/>
      <c r="F861" s="62">
        <f t="shared" si="178"/>
        <v>10500</v>
      </c>
      <c r="G861" s="62">
        <f t="shared" si="178"/>
        <v>0</v>
      </c>
      <c r="H861" s="49">
        <f t="shared" si="170"/>
        <v>10500</v>
      </c>
      <c r="I861" s="62">
        <f t="shared" si="178"/>
        <v>0</v>
      </c>
      <c r="J861" s="49">
        <f t="shared" si="159"/>
        <v>10500</v>
      </c>
      <c r="K861" s="62">
        <f t="shared" si="178"/>
        <v>0</v>
      </c>
      <c r="L861" s="49">
        <f t="shared" si="176"/>
        <v>10500</v>
      </c>
      <c r="M861" s="62">
        <f t="shared" si="178"/>
        <v>0</v>
      </c>
      <c r="N861" s="49">
        <f t="shared" si="174"/>
        <v>10500</v>
      </c>
    </row>
    <row r="862" spans="1:14" x14ac:dyDescent="0.2">
      <c r="A862" s="45" t="s">
        <v>83</v>
      </c>
      <c r="B862" s="79" t="s">
        <v>452</v>
      </c>
      <c r="C862" s="65" t="s">
        <v>78</v>
      </c>
      <c r="D862" s="65" t="s">
        <v>70</v>
      </c>
      <c r="E862" s="26"/>
      <c r="F862" s="62">
        <f t="shared" si="178"/>
        <v>10500</v>
      </c>
      <c r="G862" s="62">
        <f t="shared" si="178"/>
        <v>0</v>
      </c>
      <c r="H862" s="49">
        <f t="shared" si="170"/>
        <v>10500</v>
      </c>
      <c r="I862" s="62">
        <f t="shared" si="178"/>
        <v>0</v>
      </c>
      <c r="J862" s="49">
        <f t="shared" si="159"/>
        <v>10500</v>
      </c>
      <c r="K862" s="62">
        <f t="shared" si="178"/>
        <v>0</v>
      </c>
      <c r="L862" s="49">
        <f t="shared" si="176"/>
        <v>10500</v>
      </c>
      <c r="M862" s="62">
        <f t="shared" si="178"/>
        <v>0</v>
      </c>
      <c r="N862" s="49">
        <f t="shared" si="174"/>
        <v>10500</v>
      </c>
    </row>
    <row r="863" spans="1:14" x14ac:dyDescent="0.2">
      <c r="A863" s="50" t="str">
        <f ca="1">IF(ISERROR(MATCH(E863,Код_КВР,0)),"",INDIRECT(ADDRESS(MATCH(E863,Код_КВР,0)+1,2,,,"КВР")))</f>
        <v>Иные бюджетные ассигнования</v>
      </c>
      <c r="B863" s="79" t="s">
        <v>452</v>
      </c>
      <c r="C863" s="65" t="s">
        <v>78</v>
      </c>
      <c r="D863" s="65" t="s">
        <v>70</v>
      </c>
      <c r="E863" s="26">
        <v>800</v>
      </c>
      <c r="F863" s="62">
        <f t="shared" si="178"/>
        <v>10500</v>
      </c>
      <c r="G863" s="62">
        <f t="shared" si="178"/>
        <v>0</v>
      </c>
      <c r="H863" s="49">
        <f t="shared" si="170"/>
        <v>10500</v>
      </c>
      <c r="I863" s="62">
        <f t="shared" si="178"/>
        <v>0</v>
      </c>
      <c r="J863" s="49">
        <f t="shared" ref="J863:J931" si="179">H863+I863</f>
        <v>10500</v>
      </c>
      <c r="K863" s="62">
        <f t="shared" si="178"/>
        <v>0</v>
      </c>
      <c r="L863" s="49">
        <f t="shared" si="176"/>
        <v>10500</v>
      </c>
      <c r="M863" s="62">
        <f t="shared" si="178"/>
        <v>0</v>
      </c>
      <c r="N863" s="49">
        <f t="shared" si="174"/>
        <v>10500</v>
      </c>
    </row>
    <row r="864" spans="1:14" ht="49.5" x14ac:dyDescent="0.2">
      <c r="A864" s="50" t="str">
        <f ca="1">IF(ISERROR(MATCH(E864,Код_КВР,0)),"",INDIRECT(ADDRESS(MATCH(E864,Код_КВР,0)+1,2,,,"КВР")))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864" s="79" t="s">
        <v>452</v>
      </c>
      <c r="C864" s="65" t="s">
        <v>78</v>
      </c>
      <c r="D864" s="65" t="s">
        <v>70</v>
      </c>
      <c r="E864" s="26">
        <v>810</v>
      </c>
      <c r="F864" s="62">
        <f>'прил. 8'!G566</f>
        <v>10500</v>
      </c>
      <c r="G864" s="62">
        <f>'прил. 8'!H566</f>
        <v>0</v>
      </c>
      <c r="H864" s="49">
        <f t="shared" si="170"/>
        <v>10500</v>
      </c>
      <c r="I864" s="62">
        <f>'прил. 8'!J566</f>
        <v>0</v>
      </c>
      <c r="J864" s="49">
        <f t="shared" si="179"/>
        <v>10500</v>
      </c>
      <c r="K864" s="62">
        <f>'прил. 8'!L566</f>
        <v>0</v>
      </c>
      <c r="L864" s="49">
        <f t="shared" si="176"/>
        <v>10500</v>
      </c>
      <c r="M864" s="62">
        <f>'прил. 8'!N566</f>
        <v>0</v>
      </c>
      <c r="N864" s="49">
        <f t="shared" si="174"/>
        <v>10500</v>
      </c>
    </row>
    <row r="865" spans="1:14" ht="49.5" x14ac:dyDescent="0.2">
      <c r="A865" s="50" t="str">
        <f ca="1">IF(ISERROR(MATCH(B865,Код_КЦСР,0)),"",INDIRECT(ADDRESS(MATCH(B865,Код_КЦСР,0)+1,2,,,"КЦСР")))</f>
        <v>Возмещение затрат по проведению капитального ремонта штукатурных фасадов  многоквартирных домов, прилегающих к общественно-массовым зонам, территориям</v>
      </c>
      <c r="B865" s="79" t="s">
        <v>685</v>
      </c>
      <c r="C865" s="65"/>
      <c r="D865" s="65"/>
      <c r="E865" s="26"/>
      <c r="F865" s="62"/>
      <c r="G865" s="62"/>
      <c r="H865" s="49"/>
      <c r="I865" s="62"/>
      <c r="J865" s="49"/>
      <c r="K865" s="62">
        <f>K866</f>
        <v>6272.3</v>
      </c>
      <c r="L865" s="49">
        <f t="shared" si="176"/>
        <v>6272.3</v>
      </c>
      <c r="M865" s="62">
        <f>M866</f>
        <v>0</v>
      </c>
      <c r="N865" s="49">
        <f t="shared" si="174"/>
        <v>6272.3</v>
      </c>
    </row>
    <row r="866" spans="1:14" x14ac:dyDescent="0.2">
      <c r="A866" s="50" t="str">
        <f ca="1">IF(ISERROR(MATCH(C866,Код_Раздел,0)),"",INDIRECT(ADDRESS(MATCH(C866,Код_Раздел,0)+1,2,,,"Раздел")))</f>
        <v>Жилищно-коммунальное хозяйство</v>
      </c>
      <c r="B866" s="79" t="s">
        <v>685</v>
      </c>
      <c r="C866" s="65" t="s">
        <v>78</v>
      </c>
      <c r="D866" s="46"/>
      <c r="E866" s="26"/>
      <c r="F866" s="62"/>
      <c r="G866" s="62"/>
      <c r="H866" s="49"/>
      <c r="I866" s="62"/>
      <c r="J866" s="49"/>
      <c r="K866" s="62">
        <f>K867</f>
        <v>6272.3</v>
      </c>
      <c r="L866" s="49">
        <f t="shared" si="176"/>
        <v>6272.3</v>
      </c>
      <c r="M866" s="62">
        <f>M867</f>
        <v>0</v>
      </c>
      <c r="N866" s="49">
        <f t="shared" si="174"/>
        <v>6272.3</v>
      </c>
    </row>
    <row r="867" spans="1:14" x14ac:dyDescent="0.2">
      <c r="A867" s="45" t="s">
        <v>83</v>
      </c>
      <c r="B867" s="79" t="s">
        <v>685</v>
      </c>
      <c r="C867" s="65" t="s">
        <v>78</v>
      </c>
      <c r="D867" s="65" t="s">
        <v>70</v>
      </c>
      <c r="E867" s="26"/>
      <c r="F867" s="62"/>
      <c r="G867" s="62"/>
      <c r="H867" s="49"/>
      <c r="I867" s="62"/>
      <c r="J867" s="49"/>
      <c r="K867" s="62">
        <f>K868</f>
        <v>6272.3</v>
      </c>
      <c r="L867" s="49">
        <f t="shared" si="176"/>
        <v>6272.3</v>
      </c>
      <c r="M867" s="62">
        <f>M868</f>
        <v>0</v>
      </c>
      <c r="N867" s="49">
        <f t="shared" si="174"/>
        <v>6272.3</v>
      </c>
    </row>
    <row r="868" spans="1:14" x14ac:dyDescent="0.2">
      <c r="A868" s="50" t="str">
        <f ca="1">IF(ISERROR(MATCH(E868,Код_КВР,0)),"",INDIRECT(ADDRESS(MATCH(E868,Код_КВР,0)+1,2,,,"КВР")))</f>
        <v>Иные бюджетные ассигнования</v>
      </c>
      <c r="B868" s="79" t="s">
        <v>685</v>
      </c>
      <c r="C868" s="65" t="s">
        <v>78</v>
      </c>
      <c r="D868" s="65" t="s">
        <v>70</v>
      </c>
      <c r="E868" s="26">
        <v>800</v>
      </c>
      <c r="F868" s="62"/>
      <c r="G868" s="62"/>
      <c r="H868" s="49"/>
      <c r="I868" s="62"/>
      <c r="J868" s="49"/>
      <c r="K868" s="62">
        <f>K869</f>
        <v>6272.3</v>
      </c>
      <c r="L868" s="49">
        <f t="shared" si="176"/>
        <v>6272.3</v>
      </c>
      <c r="M868" s="62">
        <f>M869</f>
        <v>0</v>
      </c>
      <c r="N868" s="49">
        <f t="shared" si="174"/>
        <v>6272.3</v>
      </c>
    </row>
    <row r="869" spans="1:14" ht="49.5" x14ac:dyDescent="0.2">
      <c r="A869" s="50" t="str">
        <f ca="1">IF(ISERROR(MATCH(E869,Код_КВР,0)),"",INDIRECT(ADDRESS(MATCH(E869,Код_КВР,0)+1,2,,,"КВР")))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869" s="79" t="s">
        <v>685</v>
      </c>
      <c r="C869" s="65" t="s">
        <v>78</v>
      </c>
      <c r="D869" s="65" t="s">
        <v>70</v>
      </c>
      <c r="E869" s="26">
        <v>810</v>
      </c>
      <c r="F869" s="62"/>
      <c r="G869" s="62"/>
      <c r="H869" s="49"/>
      <c r="I869" s="62"/>
      <c r="J869" s="49"/>
      <c r="K869" s="62">
        <f>'прил. 8'!L569</f>
        <v>6272.3</v>
      </c>
      <c r="L869" s="49">
        <f t="shared" si="176"/>
        <v>6272.3</v>
      </c>
      <c r="M869" s="62">
        <f>'прил. 8'!N569</f>
        <v>0</v>
      </c>
      <c r="N869" s="49">
        <f t="shared" si="174"/>
        <v>6272.3</v>
      </c>
    </row>
    <row r="870" spans="1:14" ht="33" x14ac:dyDescent="0.2">
      <c r="A870" s="50" t="str">
        <f ca="1">IF(ISERROR(MATCH(B870,Код_КЦСР,0)),"",INDIRECT(ADDRESS(MATCH(B870,Код_КЦСР,0)+1,2,,,"КЦСР")))</f>
        <v>Муниципальная программа «Развитие земельно-имущественного комплекса города Череповца» на 2014 – 2022 годы</v>
      </c>
      <c r="B870" s="79" t="s">
        <v>356</v>
      </c>
      <c r="C870" s="65"/>
      <c r="D870" s="46"/>
      <c r="E870" s="26"/>
      <c r="F870" s="62">
        <f>F871+F891+F899+F904</f>
        <v>92174.399999999994</v>
      </c>
      <c r="G870" s="62">
        <f>G871+G891+G899+G904</f>
        <v>0</v>
      </c>
      <c r="H870" s="49">
        <f t="shared" si="170"/>
        <v>92174.399999999994</v>
      </c>
      <c r="I870" s="62">
        <f>I871+I891+I899+I904</f>
        <v>0</v>
      </c>
      <c r="J870" s="49">
        <f t="shared" si="179"/>
        <v>92174.399999999994</v>
      </c>
      <c r="K870" s="62">
        <f>K871+K891+K899+K904</f>
        <v>0</v>
      </c>
      <c r="L870" s="49">
        <f t="shared" si="176"/>
        <v>92174.399999999994</v>
      </c>
      <c r="M870" s="62">
        <f>M871+M891+M899+M904</f>
        <v>0</v>
      </c>
      <c r="N870" s="49">
        <f t="shared" si="174"/>
        <v>92174.399999999994</v>
      </c>
    </row>
    <row r="871" spans="1:14" ht="33" x14ac:dyDescent="0.2">
      <c r="A871" s="50" t="str">
        <f ca="1">IF(ISERROR(MATCH(B871,Код_КЦСР,0)),"",INDIRECT(ADDRESS(MATCH(B871,Код_КЦСР,0)+1,2,,,"КЦСР")))</f>
        <v>Формирование и обеспечение сохранности муниципального земельно-имущественного комплекса</v>
      </c>
      <c r="B871" s="79" t="s">
        <v>357</v>
      </c>
      <c r="C871" s="65"/>
      <c r="D871" s="46"/>
      <c r="E871" s="26"/>
      <c r="F871" s="62">
        <f>F872+F876+F883+F887</f>
        <v>61880.5</v>
      </c>
      <c r="G871" s="62">
        <f>G872+G876+G883+G887</f>
        <v>0</v>
      </c>
      <c r="H871" s="49">
        <f t="shared" si="170"/>
        <v>61880.5</v>
      </c>
      <c r="I871" s="62">
        <f>I872+I876+I883+I887</f>
        <v>272.5</v>
      </c>
      <c r="J871" s="49">
        <f t="shared" si="179"/>
        <v>62153</v>
      </c>
      <c r="K871" s="62">
        <f>K872+K876+K883+K887</f>
        <v>-96.9</v>
      </c>
      <c r="L871" s="49">
        <f t="shared" si="176"/>
        <v>62056.1</v>
      </c>
      <c r="M871" s="62">
        <f>M872+M876+M883+M887</f>
        <v>0</v>
      </c>
      <c r="N871" s="49">
        <f t="shared" si="174"/>
        <v>62056.1</v>
      </c>
    </row>
    <row r="872" spans="1:14" x14ac:dyDescent="0.2">
      <c r="A872" s="50" t="str">
        <f ca="1">IF(ISERROR(MATCH(C872,Код_Раздел,0)),"",INDIRECT(ADDRESS(MATCH(C872,Код_Раздел,0)+1,2,,,"Раздел")))</f>
        <v>Общегосударственные вопросы</v>
      </c>
      <c r="B872" s="79" t="s">
        <v>357</v>
      </c>
      <c r="C872" s="65" t="s">
        <v>70</v>
      </c>
      <c r="D872" s="46"/>
      <c r="E872" s="26"/>
      <c r="F872" s="62">
        <f t="shared" ref="F872:M874" si="180">F873</f>
        <v>6125.5999999999995</v>
      </c>
      <c r="G872" s="62">
        <f t="shared" si="180"/>
        <v>0</v>
      </c>
      <c r="H872" s="49">
        <f t="shared" si="170"/>
        <v>6125.5999999999995</v>
      </c>
      <c r="I872" s="62">
        <f t="shared" si="180"/>
        <v>272.5</v>
      </c>
      <c r="J872" s="49">
        <f t="shared" si="179"/>
        <v>6398.0999999999995</v>
      </c>
      <c r="K872" s="62">
        <f t="shared" si="180"/>
        <v>-96.9</v>
      </c>
      <c r="L872" s="49">
        <f t="shared" si="176"/>
        <v>6301.2</v>
      </c>
      <c r="M872" s="62">
        <f t="shared" si="180"/>
        <v>0</v>
      </c>
      <c r="N872" s="49">
        <f t="shared" si="174"/>
        <v>6301.2</v>
      </c>
    </row>
    <row r="873" spans="1:14" x14ac:dyDescent="0.2">
      <c r="A873" s="45" t="s">
        <v>91</v>
      </c>
      <c r="B873" s="79" t="s">
        <v>357</v>
      </c>
      <c r="C873" s="65" t="s">
        <v>70</v>
      </c>
      <c r="D873" s="46" t="s">
        <v>55</v>
      </c>
      <c r="E873" s="26"/>
      <c r="F873" s="62">
        <f t="shared" si="180"/>
        <v>6125.5999999999995</v>
      </c>
      <c r="G873" s="62">
        <f t="shared" si="180"/>
        <v>0</v>
      </c>
      <c r="H873" s="49">
        <f t="shared" si="170"/>
        <v>6125.5999999999995</v>
      </c>
      <c r="I873" s="62">
        <f t="shared" si="180"/>
        <v>272.5</v>
      </c>
      <c r="J873" s="49">
        <f t="shared" si="179"/>
        <v>6398.0999999999995</v>
      </c>
      <c r="K873" s="62">
        <f t="shared" si="180"/>
        <v>-96.9</v>
      </c>
      <c r="L873" s="49">
        <f t="shared" si="176"/>
        <v>6301.2</v>
      </c>
      <c r="M873" s="62">
        <f t="shared" si="180"/>
        <v>0</v>
      </c>
      <c r="N873" s="49">
        <f t="shared" si="174"/>
        <v>6301.2</v>
      </c>
    </row>
    <row r="874" spans="1:14" ht="33" x14ac:dyDescent="0.2">
      <c r="A874" s="50" t="str">
        <f ca="1">IF(ISERROR(MATCH(E874,Код_КВР,0)),"",INDIRECT(ADDRESS(MATCH(E874,Код_КВР,0)+1,2,,,"КВР")))</f>
        <v>Закупка товаров, работ и услуг для обеспечения государственных (муниципальных) нужд</v>
      </c>
      <c r="B874" s="79" t="s">
        <v>357</v>
      </c>
      <c r="C874" s="65" t="s">
        <v>70</v>
      </c>
      <c r="D874" s="46" t="s">
        <v>55</v>
      </c>
      <c r="E874" s="26">
        <v>200</v>
      </c>
      <c r="F874" s="62">
        <f t="shared" si="180"/>
        <v>6125.5999999999995</v>
      </c>
      <c r="G874" s="62">
        <f t="shared" si="180"/>
        <v>0</v>
      </c>
      <c r="H874" s="49">
        <f t="shared" si="170"/>
        <v>6125.5999999999995</v>
      </c>
      <c r="I874" s="62">
        <f t="shared" si="180"/>
        <v>272.5</v>
      </c>
      <c r="J874" s="49">
        <f t="shared" si="179"/>
        <v>6398.0999999999995</v>
      </c>
      <c r="K874" s="62">
        <f t="shared" si="180"/>
        <v>-96.9</v>
      </c>
      <c r="L874" s="49">
        <f t="shared" si="176"/>
        <v>6301.2</v>
      </c>
      <c r="M874" s="62">
        <f t="shared" si="180"/>
        <v>0</v>
      </c>
      <c r="N874" s="49">
        <f t="shared" si="174"/>
        <v>6301.2</v>
      </c>
    </row>
    <row r="875" spans="1:14" ht="33" x14ac:dyDescent="0.2">
      <c r="A875" s="50" t="str">
        <f ca="1">IF(ISERROR(MATCH(E875,Код_КВР,0)),"",INDIRECT(ADDRESS(MATCH(E875,Код_КВР,0)+1,2,,,"КВР")))</f>
        <v>Иные закупки товаров, работ и услуг для обеспечения государственных (муниципальных) нужд</v>
      </c>
      <c r="B875" s="79" t="s">
        <v>357</v>
      </c>
      <c r="C875" s="65" t="s">
        <v>70</v>
      </c>
      <c r="D875" s="46" t="s">
        <v>55</v>
      </c>
      <c r="E875" s="26">
        <v>240</v>
      </c>
      <c r="F875" s="62">
        <f>'прил. 8'!G74+'прил. 8'!G1106</f>
        <v>6125.5999999999995</v>
      </c>
      <c r="G875" s="62">
        <f>'прил. 8'!H74+'прил. 8'!H1106</f>
        <v>0</v>
      </c>
      <c r="H875" s="49">
        <f t="shared" si="170"/>
        <v>6125.5999999999995</v>
      </c>
      <c r="I875" s="62">
        <f>'прил. 8'!J74+'прил. 8'!J1106</f>
        <v>272.5</v>
      </c>
      <c r="J875" s="49">
        <f t="shared" si="179"/>
        <v>6398.0999999999995</v>
      </c>
      <c r="K875" s="62">
        <f>'прил. 8'!L74+'прил. 8'!L1106</f>
        <v>-96.9</v>
      </c>
      <c r="L875" s="49">
        <f t="shared" si="176"/>
        <v>6301.2</v>
      </c>
      <c r="M875" s="62">
        <f>'прил. 8'!N74+'прил. 8'!N1106</f>
        <v>0</v>
      </c>
      <c r="N875" s="49">
        <f t="shared" si="174"/>
        <v>6301.2</v>
      </c>
    </row>
    <row r="876" spans="1:14" x14ac:dyDescent="0.2">
      <c r="A876" s="50" t="str">
        <f ca="1">IF(ISERROR(MATCH(C876,Код_Раздел,0)),"",INDIRECT(ADDRESS(MATCH(C876,Код_Раздел,0)+1,2,,,"Раздел")))</f>
        <v>Национальная экономика</v>
      </c>
      <c r="B876" s="79" t="s">
        <v>357</v>
      </c>
      <c r="C876" s="65" t="s">
        <v>73</v>
      </c>
      <c r="D876" s="46"/>
      <c r="E876" s="26"/>
      <c r="F876" s="62">
        <f>F877+F880</f>
        <v>55734.9</v>
      </c>
      <c r="G876" s="62">
        <f>G877+G880</f>
        <v>0</v>
      </c>
      <c r="H876" s="49">
        <f t="shared" si="170"/>
        <v>55734.9</v>
      </c>
      <c r="I876" s="62">
        <f>I877+I880</f>
        <v>0</v>
      </c>
      <c r="J876" s="49">
        <f t="shared" si="179"/>
        <v>55734.9</v>
      </c>
      <c r="K876" s="62">
        <f>K877+K880</f>
        <v>0</v>
      </c>
      <c r="L876" s="49">
        <f t="shared" si="176"/>
        <v>55734.9</v>
      </c>
      <c r="M876" s="62">
        <f>M877+M880</f>
        <v>0</v>
      </c>
      <c r="N876" s="49">
        <f t="shared" si="174"/>
        <v>55734.9</v>
      </c>
    </row>
    <row r="877" spans="1:14" x14ac:dyDescent="0.2">
      <c r="A877" s="51" t="s">
        <v>146</v>
      </c>
      <c r="B877" s="79" t="s">
        <v>357</v>
      </c>
      <c r="C877" s="65" t="s">
        <v>73</v>
      </c>
      <c r="D877" s="65" t="s">
        <v>79</v>
      </c>
      <c r="E877" s="26"/>
      <c r="F877" s="62">
        <f t="shared" ref="F877:M878" si="181">F878</f>
        <v>49903.3</v>
      </c>
      <c r="G877" s="62">
        <f t="shared" si="181"/>
        <v>0</v>
      </c>
      <c r="H877" s="49">
        <f t="shared" si="170"/>
        <v>49903.3</v>
      </c>
      <c r="I877" s="62">
        <f t="shared" si="181"/>
        <v>0</v>
      </c>
      <c r="J877" s="49">
        <f t="shared" si="179"/>
        <v>49903.3</v>
      </c>
      <c r="K877" s="62">
        <f t="shared" si="181"/>
        <v>0</v>
      </c>
      <c r="L877" s="49">
        <f t="shared" si="176"/>
        <v>49903.3</v>
      </c>
      <c r="M877" s="62">
        <f t="shared" si="181"/>
        <v>0</v>
      </c>
      <c r="N877" s="49">
        <f t="shared" si="174"/>
        <v>49903.3</v>
      </c>
    </row>
    <row r="878" spans="1:14" ht="33" x14ac:dyDescent="0.2">
      <c r="A878" s="50" t="str">
        <f ca="1">IF(ISERROR(MATCH(E878,Код_КВР,0)),"",INDIRECT(ADDRESS(MATCH(E878,Код_КВР,0)+1,2,,,"КВР")))</f>
        <v>Закупка товаров, работ и услуг для обеспечения государственных (муниципальных) нужд</v>
      </c>
      <c r="B878" s="79" t="s">
        <v>357</v>
      </c>
      <c r="C878" s="65" t="s">
        <v>73</v>
      </c>
      <c r="D878" s="65" t="s">
        <v>79</v>
      </c>
      <c r="E878" s="26">
        <v>200</v>
      </c>
      <c r="F878" s="62">
        <f t="shared" si="181"/>
        <v>49903.3</v>
      </c>
      <c r="G878" s="62">
        <f t="shared" si="181"/>
        <v>0</v>
      </c>
      <c r="H878" s="49">
        <f t="shared" si="170"/>
        <v>49903.3</v>
      </c>
      <c r="I878" s="62">
        <f t="shared" si="181"/>
        <v>0</v>
      </c>
      <c r="J878" s="49">
        <f t="shared" si="179"/>
        <v>49903.3</v>
      </c>
      <c r="K878" s="62">
        <f t="shared" si="181"/>
        <v>0</v>
      </c>
      <c r="L878" s="49">
        <f t="shared" si="176"/>
        <v>49903.3</v>
      </c>
      <c r="M878" s="62">
        <f t="shared" si="181"/>
        <v>0</v>
      </c>
      <c r="N878" s="49">
        <f t="shared" si="174"/>
        <v>49903.3</v>
      </c>
    </row>
    <row r="879" spans="1:14" ht="33" x14ac:dyDescent="0.2">
      <c r="A879" s="50" t="str">
        <f ca="1">IF(ISERROR(MATCH(E879,Код_КВР,0)),"",INDIRECT(ADDRESS(MATCH(E879,Код_КВР,0)+1,2,,,"КВР")))</f>
        <v>Иные закупки товаров, работ и услуг для обеспечения государственных (муниципальных) нужд</v>
      </c>
      <c r="B879" s="79" t="s">
        <v>357</v>
      </c>
      <c r="C879" s="65" t="s">
        <v>73</v>
      </c>
      <c r="D879" s="65" t="s">
        <v>79</v>
      </c>
      <c r="E879" s="26">
        <v>240</v>
      </c>
      <c r="F879" s="62">
        <f>'прил. 8'!G502+'прил. 8'!G1127</f>
        <v>49903.3</v>
      </c>
      <c r="G879" s="62">
        <f>'прил. 8'!H502+'прил. 8'!H1127</f>
        <v>0</v>
      </c>
      <c r="H879" s="49">
        <f t="shared" si="170"/>
        <v>49903.3</v>
      </c>
      <c r="I879" s="62">
        <f>'прил. 8'!J502+'прил. 8'!J1127</f>
        <v>0</v>
      </c>
      <c r="J879" s="49">
        <f t="shared" si="179"/>
        <v>49903.3</v>
      </c>
      <c r="K879" s="62">
        <f>'прил. 8'!L502+'прил. 8'!L1127</f>
        <v>0</v>
      </c>
      <c r="L879" s="49">
        <f t="shared" si="176"/>
        <v>49903.3</v>
      </c>
      <c r="M879" s="62">
        <f>'прил. 8'!N502+'прил. 8'!N1127</f>
        <v>0</v>
      </c>
      <c r="N879" s="49">
        <f t="shared" si="174"/>
        <v>49903.3</v>
      </c>
    </row>
    <row r="880" spans="1:14" x14ac:dyDescent="0.2">
      <c r="A880" s="51" t="s">
        <v>87</v>
      </c>
      <c r="B880" s="79" t="s">
        <v>357</v>
      </c>
      <c r="C880" s="65" t="s">
        <v>73</v>
      </c>
      <c r="D880" s="65" t="s">
        <v>53</v>
      </c>
      <c r="E880" s="26"/>
      <c r="F880" s="62">
        <f t="shared" ref="F880:M881" si="182">F881</f>
        <v>5831.6</v>
      </c>
      <c r="G880" s="62">
        <f t="shared" si="182"/>
        <v>0</v>
      </c>
      <c r="H880" s="49">
        <f t="shared" si="170"/>
        <v>5831.6</v>
      </c>
      <c r="I880" s="62">
        <f t="shared" si="182"/>
        <v>0</v>
      </c>
      <c r="J880" s="49">
        <f t="shared" si="179"/>
        <v>5831.6</v>
      </c>
      <c r="K880" s="62">
        <f t="shared" si="182"/>
        <v>0</v>
      </c>
      <c r="L880" s="49">
        <f t="shared" si="176"/>
        <v>5831.6</v>
      </c>
      <c r="M880" s="62">
        <f t="shared" si="182"/>
        <v>0</v>
      </c>
      <c r="N880" s="49">
        <f t="shared" si="174"/>
        <v>5831.6</v>
      </c>
    </row>
    <row r="881" spans="1:14" ht="33" x14ac:dyDescent="0.2">
      <c r="A881" s="50" t="str">
        <f ca="1">IF(ISERROR(MATCH(E881,Код_КВР,0)),"",INDIRECT(ADDRESS(MATCH(E881,Код_КВР,0)+1,2,,,"КВР")))</f>
        <v>Предоставление субсидий бюджетным, автономным учреждениям и иным некоммерческим организациям</v>
      </c>
      <c r="B881" s="79" t="s">
        <v>357</v>
      </c>
      <c r="C881" s="65" t="s">
        <v>73</v>
      </c>
      <c r="D881" s="65" t="s">
        <v>53</v>
      </c>
      <c r="E881" s="26">
        <v>600</v>
      </c>
      <c r="F881" s="62">
        <f t="shared" si="182"/>
        <v>5831.6</v>
      </c>
      <c r="G881" s="62">
        <f t="shared" si="182"/>
        <v>0</v>
      </c>
      <c r="H881" s="49">
        <f t="shared" si="170"/>
        <v>5831.6</v>
      </c>
      <c r="I881" s="62">
        <f t="shared" si="182"/>
        <v>0</v>
      </c>
      <c r="J881" s="49">
        <f t="shared" si="179"/>
        <v>5831.6</v>
      </c>
      <c r="K881" s="62">
        <f t="shared" si="182"/>
        <v>0</v>
      </c>
      <c r="L881" s="49">
        <f t="shared" si="176"/>
        <v>5831.6</v>
      </c>
      <c r="M881" s="62">
        <f t="shared" si="182"/>
        <v>0</v>
      </c>
      <c r="N881" s="49">
        <f t="shared" si="174"/>
        <v>5831.6</v>
      </c>
    </row>
    <row r="882" spans="1:14" x14ac:dyDescent="0.2">
      <c r="A882" s="50" t="str">
        <f ca="1">IF(ISERROR(MATCH(E882,Код_КВР,0)),"",INDIRECT(ADDRESS(MATCH(E882,Код_КВР,0)+1,2,,,"КВР")))</f>
        <v>Субсидии бюджетным учреждениям</v>
      </c>
      <c r="B882" s="79" t="s">
        <v>357</v>
      </c>
      <c r="C882" s="65" t="s">
        <v>73</v>
      </c>
      <c r="D882" s="65" t="s">
        <v>53</v>
      </c>
      <c r="E882" s="26">
        <v>610</v>
      </c>
      <c r="F882" s="62">
        <f>'прил. 8'!G209</f>
        <v>5831.6</v>
      </c>
      <c r="G882" s="62">
        <f>'прил. 8'!H209</f>
        <v>0</v>
      </c>
      <c r="H882" s="49">
        <f t="shared" si="170"/>
        <v>5831.6</v>
      </c>
      <c r="I882" s="62">
        <f>'прил. 8'!J209</f>
        <v>0</v>
      </c>
      <c r="J882" s="49">
        <f t="shared" si="179"/>
        <v>5831.6</v>
      </c>
      <c r="K882" s="62">
        <f>'прил. 8'!L209</f>
        <v>0</v>
      </c>
      <c r="L882" s="49">
        <f t="shared" si="176"/>
        <v>5831.6</v>
      </c>
      <c r="M882" s="62">
        <f>'прил. 8'!N209</f>
        <v>0</v>
      </c>
      <c r="N882" s="49">
        <f t="shared" si="174"/>
        <v>5831.6</v>
      </c>
    </row>
    <row r="883" spans="1:14" hidden="1" x14ac:dyDescent="0.2">
      <c r="A883" s="50" t="str">
        <f ca="1">IF(ISERROR(MATCH(C883,Код_Раздел,0)),"",INDIRECT(ADDRESS(MATCH(C883,Код_Раздел,0)+1,2,,,"Раздел")))</f>
        <v>Жилищно-коммунальное хозяйство</v>
      </c>
      <c r="B883" s="79" t="s">
        <v>357</v>
      </c>
      <c r="C883" s="65" t="s">
        <v>78</v>
      </c>
      <c r="D883" s="46"/>
      <c r="E883" s="26"/>
      <c r="F883" s="62">
        <f t="shared" ref="F883:M885" si="183">F884</f>
        <v>0</v>
      </c>
      <c r="G883" s="62">
        <f t="shared" si="183"/>
        <v>0</v>
      </c>
      <c r="H883" s="49">
        <f t="shared" si="170"/>
        <v>0</v>
      </c>
      <c r="I883" s="62">
        <f t="shared" si="183"/>
        <v>0</v>
      </c>
      <c r="J883" s="49">
        <f t="shared" si="179"/>
        <v>0</v>
      </c>
      <c r="K883" s="62">
        <f t="shared" si="183"/>
        <v>0</v>
      </c>
      <c r="L883" s="49">
        <f t="shared" si="176"/>
        <v>0</v>
      </c>
      <c r="M883" s="62">
        <f t="shared" si="183"/>
        <v>0</v>
      </c>
      <c r="N883" s="49">
        <f t="shared" si="174"/>
        <v>0</v>
      </c>
    </row>
    <row r="884" spans="1:14" hidden="1" x14ac:dyDescent="0.2">
      <c r="A884" s="50" t="s">
        <v>104</v>
      </c>
      <c r="B884" s="79" t="s">
        <v>357</v>
      </c>
      <c r="C884" s="65" t="s">
        <v>78</v>
      </c>
      <c r="D884" s="46" t="s">
        <v>72</v>
      </c>
      <c r="E884" s="26"/>
      <c r="F884" s="62">
        <f t="shared" si="183"/>
        <v>0</v>
      </c>
      <c r="G884" s="62">
        <f t="shared" si="183"/>
        <v>0</v>
      </c>
      <c r="H884" s="49">
        <f t="shared" si="170"/>
        <v>0</v>
      </c>
      <c r="I884" s="62">
        <f t="shared" si="183"/>
        <v>0</v>
      </c>
      <c r="J884" s="49">
        <f t="shared" si="179"/>
        <v>0</v>
      </c>
      <c r="K884" s="62">
        <f t="shared" si="183"/>
        <v>0</v>
      </c>
      <c r="L884" s="49">
        <f t="shared" si="176"/>
        <v>0</v>
      </c>
      <c r="M884" s="62">
        <f t="shared" si="183"/>
        <v>0</v>
      </c>
      <c r="N884" s="49">
        <f t="shared" si="174"/>
        <v>0</v>
      </c>
    </row>
    <row r="885" spans="1:14" ht="33" hidden="1" x14ac:dyDescent="0.2">
      <c r="A885" s="50" t="str">
        <f ca="1">IF(ISERROR(MATCH(E885,Код_КВР,0)),"",INDIRECT(ADDRESS(MATCH(E885,Код_КВР,0)+1,2,,,"КВР")))</f>
        <v>Закупка товаров, работ и услуг для обеспечения государственных (муниципальных) нужд</v>
      </c>
      <c r="B885" s="79" t="s">
        <v>357</v>
      </c>
      <c r="C885" s="65" t="s">
        <v>78</v>
      </c>
      <c r="D885" s="46" t="s">
        <v>72</v>
      </c>
      <c r="E885" s="26">
        <v>200</v>
      </c>
      <c r="F885" s="62">
        <f t="shared" si="183"/>
        <v>0</v>
      </c>
      <c r="G885" s="62">
        <f t="shared" si="183"/>
        <v>0</v>
      </c>
      <c r="H885" s="49">
        <f t="shared" si="170"/>
        <v>0</v>
      </c>
      <c r="I885" s="62">
        <f t="shared" si="183"/>
        <v>0</v>
      </c>
      <c r="J885" s="49">
        <f t="shared" si="179"/>
        <v>0</v>
      </c>
      <c r="K885" s="62">
        <f t="shared" si="183"/>
        <v>0</v>
      </c>
      <c r="L885" s="49">
        <f t="shared" si="176"/>
        <v>0</v>
      </c>
      <c r="M885" s="62">
        <f t="shared" si="183"/>
        <v>0</v>
      </c>
      <c r="N885" s="49">
        <f t="shared" si="174"/>
        <v>0</v>
      </c>
    </row>
    <row r="886" spans="1:14" ht="33" hidden="1" x14ac:dyDescent="0.2">
      <c r="A886" s="50" t="str">
        <f ca="1">IF(ISERROR(MATCH(E886,Код_КВР,0)),"",INDIRECT(ADDRESS(MATCH(E886,Код_КВР,0)+1,2,,,"КВР")))</f>
        <v>Иные закупки товаров, работ и услуг для обеспечения государственных (муниципальных) нужд</v>
      </c>
      <c r="B886" s="79" t="s">
        <v>357</v>
      </c>
      <c r="C886" s="65" t="s">
        <v>78</v>
      </c>
      <c r="D886" s="46" t="s">
        <v>72</v>
      </c>
      <c r="E886" s="26">
        <v>240</v>
      </c>
      <c r="F886" s="62">
        <f>'прил. 8'!G1204</f>
        <v>0</v>
      </c>
      <c r="G886" s="62">
        <f>'прил. 8'!H1204</f>
        <v>0</v>
      </c>
      <c r="H886" s="49">
        <f t="shared" si="170"/>
        <v>0</v>
      </c>
      <c r="I886" s="62">
        <f>'прил. 8'!J1204</f>
        <v>0</v>
      </c>
      <c r="J886" s="49">
        <f t="shared" si="179"/>
        <v>0</v>
      </c>
      <c r="K886" s="62">
        <f>'прил. 8'!L1204</f>
        <v>0</v>
      </c>
      <c r="L886" s="49">
        <f t="shared" si="176"/>
        <v>0</v>
      </c>
      <c r="M886" s="62">
        <f>'прил. 8'!N1204</f>
        <v>0</v>
      </c>
      <c r="N886" s="49">
        <f t="shared" si="174"/>
        <v>0</v>
      </c>
    </row>
    <row r="887" spans="1:14" x14ac:dyDescent="0.2">
      <c r="A887" s="50" t="str">
        <f ca="1">IF(ISERROR(MATCH(C887,Код_Раздел,0)),"",INDIRECT(ADDRESS(MATCH(C887,Код_Раздел,0)+1,2,,,"Раздел")))</f>
        <v>Образование</v>
      </c>
      <c r="B887" s="79" t="s">
        <v>357</v>
      </c>
      <c r="C887" s="65" t="s">
        <v>60</v>
      </c>
      <c r="D887" s="46"/>
      <c r="E887" s="26"/>
      <c r="F887" s="62">
        <f t="shared" ref="F887:M889" si="184">F888</f>
        <v>20</v>
      </c>
      <c r="G887" s="62">
        <f t="shared" si="184"/>
        <v>0</v>
      </c>
      <c r="H887" s="49">
        <f t="shared" si="170"/>
        <v>20</v>
      </c>
      <c r="I887" s="62">
        <f t="shared" si="184"/>
        <v>0</v>
      </c>
      <c r="J887" s="49">
        <f t="shared" si="179"/>
        <v>20</v>
      </c>
      <c r="K887" s="62">
        <f t="shared" si="184"/>
        <v>0</v>
      </c>
      <c r="L887" s="49">
        <f t="shared" si="176"/>
        <v>20</v>
      </c>
      <c r="M887" s="62">
        <f t="shared" si="184"/>
        <v>0</v>
      </c>
      <c r="N887" s="49">
        <f t="shared" si="174"/>
        <v>20</v>
      </c>
    </row>
    <row r="888" spans="1:14" x14ac:dyDescent="0.2">
      <c r="A888" s="45" t="s">
        <v>532</v>
      </c>
      <c r="B888" s="79" t="s">
        <v>357</v>
      </c>
      <c r="C888" s="65" t="s">
        <v>60</v>
      </c>
      <c r="D888" s="46" t="s">
        <v>78</v>
      </c>
      <c r="E888" s="26"/>
      <c r="F888" s="62">
        <f t="shared" si="184"/>
        <v>20</v>
      </c>
      <c r="G888" s="62">
        <f t="shared" si="184"/>
        <v>0</v>
      </c>
      <c r="H888" s="49">
        <f t="shared" si="170"/>
        <v>20</v>
      </c>
      <c r="I888" s="62">
        <f t="shared" si="184"/>
        <v>0</v>
      </c>
      <c r="J888" s="49">
        <f t="shared" si="179"/>
        <v>20</v>
      </c>
      <c r="K888" s="62">
        <f t="shared" si="184"/>
        <v>0</v>
      </c>
      <c r="L888" s="49">
        <f t="shared" si="176"/>
        <v>20</v>
      </c>
      <c r="M888" s="62">
        <f t="shared" si="184"/>
        <v>0</v>
      </c>
      <c r="N888" s="49">
        <f t="shared" si="174"/>
        <v>20</v>
      </c>
    </row>
    <row r="889" spans="1:14" ht="33" x14ac:dyDescent="0.2">
      <c r="A889" s="50" t="str">
        <f ca="1">IF(ISERROR(MATCH(E889,Код_КВР,0)),"",INDIRECT(ADDRESS(MATCH(E889,Код_КВР,0)+1,2,,,"КВР")))</f>
        <v>Предоставление субсидий бюджетным, автономным учреждениям и иным некоммерческим организациям</v>
      </c>
      <c r="B889" s="79" t="s">
        <v>357</v>
      </c>
      <c r="C889" s="65" t="s">
        <v>60</v>
      </c>
      <c r="D889" s="46" t="s">
        <v>78</v>
      </c>
      <c r="E889" s="26">
        <v>600</v>
      </c>
      <c r="F889" s="62">
        <f t="shared" si="184"/>
        <v>20</v>
      </c>
      <c r="G889" s="62">
        <f t="shared" si="184"/>
        <v>0</v>
      </c>
      <c r="H889" s="49">
        <f t="shared" si="170"/>
        <v>20</v>
      </c>
      <c r="I889" s="62">
        <f t="shared" si="184"/>
        <v>0</v>
      </c>
      <c r="J889" s="49">
        <f t="shared" si="179"/>
        <v>20</v>
      </c>
      <c r="K889" s="62">
        <f t="shared" si="184"/>
        <v>0</v>
      </c>
      <c r="L889" s="49">
        <f t="shared" si="176"/>
        <v>20</v>
      </c>
      <c r="M889" s="62">
        <f t="shared" si="184"/>
        <v>0</v>
      </c>
      <c r="N889" s="49">
        <f t="shared" si="174"/>
        <v>20</v>
      </c>
    </row>
    <row r="890" spans="1:14" ht="21.75" customHeight="1" x14ac:dyDescent="0.2">
      <c r="A890" s="50" t="str">
        <f ca="1">IF(ISERROR(MATCH(E890,Код_КВР,0)),"",INDIRECT(ADDRESS(MATCH(E890,Код_КВР,0)+1,2,,,"КВР")))</f>
        <v>Субсидии бюджетным учреждениям</v>
      </c>
      <c r="B890" s="79" t="s">
        <v>357</v>
      </c>
      <c r="C890" s="65" t="s">
        <v>60</v>
      </c>
      <c r="D890" s="46" t="s">
        <v>78</v>
      </c>
      <c r="E890" s="26">
        <v>610</v>
      </c>
      <c r="F890" s="62">
        <f>'прил. 8'!G299</f>
        <v>20</v>
      </c>
      <c r="G890" s="62">
        <f>'прил. 8'!H299</f>
        <v>0</v>
      </c>
      <c r="H890" s="49">
        <f t="shared" si="170"/>
        <v>20</v>
      </c>
      <c r="I890" s="62">
        <f>'прил. 8'!J299</f>
        <v>0</v>
      </c>
      <c r="J890" s="49">
        <f t="shared" si="179"/>
        <v>20</v>
      </c>
      <c r="K890" s="62">
        <f>'прил. 8'!L299</f>
        <v>0</v>
      </c>
      <c r="L890" s="49">
        <f t="shared" si="176"/>
        <v>20</v>
      </c>
      <c r="M890" s="62">
        <f>'прил. 8'!N299</f>
        <v>0</v>
      </c>
      <c r="N890" s="49">
        <f t="shared" si="174"/>
        <v>20</v>
      </c>
    </row>
    <row r="891" spans="1:14" ht="33" x14ac:dyDescent="0.2">
      <c r="A891" s="50" t="str">
        <f ca="1">IF(ISERROR(MATCH(B891,Код_КЦСР,0)),"",INDIRECT(ADDRESS(MATCH(B891,Код_КЦСР,0)+1,2,,,"КЦСР")))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891" s="79" t="s">
        <v>358</v>
      </c>
      <c r="C891" s="65"/>
      <c r="D891" s="46"/>
      <c r="E891" s="26"/>
      <c r="F891" s="62">
        <f>F892</f>
        <v>2284.4</v>
      </c>
      <c r="G891" s="62">
        <f>G892</f>
        <v>0</v>
      </c>
      <c r="H891" s="49">
        <f t="shared" si="170"/>
        <v>2284.4</v>
      </c>
      <c r="I891" s="62">
        <f>I892</f>
        <v>62.300000000000011</v>
      </c>
      <c r="J891" s="49">
        <f t="shared" si="179"/>
        <v>2346.7000000000003</v>
      </c>
      <c r="K891" s="62">
        <f>K892</f>
        <v>164.4</v>
      </c>
      <c r="L891" s="49">
        <f t="shared" si="176"/>
        <v>2511.1000000000004</v>
      </c>
      <c r="M891" s="62">
        <f>M892</f>
        <v>1041.5</v>
      </c>
      <c r="N891" s="49">
        <f t="shared" si="174"/>
        <v>3552.6000000000004</v>
      </c>
    </row>
    <row r="892" spans="1:14" x14ac:dyDescent="0.2">
      <c r="A892" s="50" t="str">
        <f ca="1">IF(ISERROR(MATCH(C892,Код_Раздел,0)),"",INDIRECT(ADDRESS(MATCH(C892,Код_Раздел,0)+1,2,,,"Раздел")))</f>
        <v>Общегосударственные вопросы</v>
      </c>
      <c r="B892" s="79" t="s">
        <v>358</v>
      </c>
      <c r="C892" s="65" t="s">
        <v>70</v>
      </c>
      <c r="D892" s="46"/>
      <c r="E892" s="26"/>
      <c r="F892" s="62">
        <f t="shared" ref="F892:M894" si="185">F893</f>
        <v>2284.4</v>
      </c>
      <c r="G892" s="62">
        <f t="shared" si="185"/>
        <v>0</v>
      </c>
      <c r="H892" s="49">
        <f t="shared" si="170"/>
        <v>2284.4</v>
      </c>
      <c r="I892" s="62">
        <f t="shared" si="185"/>
        <v>62.300000000000011</v>
      </c>
      <c r="J892" s="49">
        <f t="shared" si="179"/>
        <v>2346.7000000000003</v>
      </c>
      <c r="K892" s="62">
        <f t="shared" si="185"/>
        <v>164.4</v>
      </c>
      <c r="L892" s="49">
        <f t="shared" si="176"/>
        <v>2511.1000000000004</v>
      </c>
      <c r="M892" s="62">
        <f t="shared" si="185"/>
        <v>1041.5</v>
      </c>
      <c r="N892" s="49">
        <f t="shared" si="174"/>
        <v>3552.6000000000004</v>
      </c>
    </row>
    <row r="893" spans="1:14" x14ac:dyDescent="0.2">
      <c r="A893" s="45" t="s">
        <v>91</v>
      </c>
      <c r="B893" s="79" t="s">
        <v>358</v>
      </c>
      <c r="C893" s="65" t="s">
        <v>70</v>
      </c>
      <c r="D893" s="46" t="s">
        <v>55</v>
      </c>
      <c r="E893" s="26"/>
      <c r="F893" s="62">
        <f>F894+F896</f>
        <v>2284.4</v>
      </c>
      <c r="G893" s="62">
        <f>G894+G896</f>
        <v>0</v>
      </c>
      <c r="H893" s="49">
        <f t="shared" si="170"/>
        <v>2284.4</v>
      </c>
      <c r="I893" s="62">
        <f>I894+I896</f>
        <v>62.300000000000011</v>
      </c>
      <c r="J893" s="49">
        <f t="shared" si="179"/>
        <v>2346.7000000000003</v>
      </c>
      <c r="K893" s="62">
        <f>K894+K896</f>
        <v>164.4</v>
      </c>
      <c r="L893" s="49">
        <f t="shared" si="176"/>
        <v>2511.1000000000004</v>
      </c>
      <c r="M893" s="62">
        <f>M894+M896</f>
        <v>1041.5</v>
      </c>
      <c r="N893" s="49">
        <f t="shared" si="174"/>
        <v>3552.6000000000004</v>
      </c>
    </row>
    <row r="894" spans="1:14" ht="33" x14ac:dyDescent="0.2">
      <c r="A894" s="50" t="str">
        <f ca="1">IF(ISERROR(MATCH(E894,Код_КВР,0)),"",INDIRECT(ADDRESS(MATCH(E894,Код_КВР,0)+1,2,,,"КВР")))</f>
        <v>Закупка товаров, работ и услуг для обеспечения государственных (муниципальных) нужд</v>
      </c>
      <c r="B894" s="79" t="s">
        <v>358</v>
      </c>
      <c r="C894" s="65" t="s">
        <v>70</v>
      </c>
      <c r="D894" s="46" t="s">
        <v>55</v>
      </c>
      <c r="E894" s="26">
        <v>200</v>
      </c>
      <c r="F894" s="62">
        <f t="shared" si="185"/>
        <v>2134.4</v>
      </c>
      <c r="G894" s="62">
        <f t="shared" si="185"/>
        <v>0</v>
      </c>
      <c r="H894" s="49">
        <f t="shared" si="170"/>
        <v>2134.4</v>
      </c>
      <c r="I894" s="62">
        <f t="shared" si="185"/>
        <v>-272.5</v>
      </c>
      <c r="J894" s="49">
        <f t="shared" si="179"/>
        <v>1861.9</v>
      </c>
      <c r="K894" s="62">
        <f t="shared" si="185"/>
        <v>0</v>
      </c>
      <c r="L894" s="49">
        <f t="shared" si="176"/>
        <v>1861.9</v>
      </c>
      <c r="M894" s="62">
        <f t="shared" si="185"/>
        <v>0</v>
      </c>
      <c r="N894" s="49">
        <f t="shared" si="174"/>
        <v>1861.9</v>
      </c>
    </row>
    <row r="895" spans="1:14" ht="33" x14ac:dyDescent="0.2">
      <c r="A895" s="50" t="str">
        <f ca="1">IF(ISERROR(MATCH(E895,Код_КВР,0)),"",INDIRECT(ADDRESS(MATCH(E895,Код_КВР,0)+1,2,,,"КВР")))</f>
        <v>Иные закупки товаров, работ и услуг для обеспечения государственных (муниципальных) нужд</v>
      </c>
      <c r="B895" s="79" t="s">
        <v>358</v>
      </c>
      <c r="C895" s="65" t="s">
        <v>70</v>
      </c>
      <c r="D895" s="46" t="s">
        <v>55</v>
      </c>
      <c r="E895" s="26">
        <v>240</v>
      </c>
      <c r="F895" s="62">
        <f>'прил. 8'!G1109</f>
        <v>2134.4</v>
      </c>
      <c r="G895" s="62">
        <f>'прил. 8'!H1109</f>
        <v>0</v>
      </c>
      <c r="H895" s="49">
        <f t="shared" si="170"/>
        <v>2134.4</v>
      </c>
      <c r="I895" s="62">
        <f>'прил. 8'!J1109</f>
        <v>-272.5</v>
      </c>
      <c r="J895" s="49">
        <f t="shared" si="179"/>
        <v>1861.9</v>
      </c>
      <c r="K895" s="62">
        <f>'прил. 8'!L1109</f>
        <v>0</v>
      </c>
      <c r="L895" s="49">
        <f t="shared" si="176"/>
        <v>1861.9</v>
      </c>
      <c r="M895" s="62">
        <f>'прил. 8'!N1109</f>
        <v>0</v>
      </c>
      <c r="N895" s="49">
        <f t="shared" si="174"/>
        <v>1861.9</v>
      </c>
    </row>
    <row r="896" spans="1:14" x14ac:dyDescent="0.2">
      <c r="A896" s="50" t="str">
        <f ca="1">IF(ISERROR(MATCH(E896,Код_КВР,0)),"",INDIRECT(ADDRESS(MATCH(E896,Код_КВР,0)+1,2,,,"КВР")))</f>
        <v>Иные бюджетные ассигнования</v>
      </c>
      <c r="B896" s="79" t="s">
        <v>358</v>
      </c>
      <c r="C896" s="65" t="s">
        <v>70</v>
      </c>
      <c r="D896" s="46" t="s">
        <v>55</v>
      </c>
      <c r="E896" s="26">
        <v>800</v>
      </c>
      <c r="F896" s="62">
        <f>F897+F898</f>
        <v>150</v>
      </c>
      <c r="G896" s="62">
        <f>G897+G898</f>
        <v>0</v>
      </c>
      <c r="H896" s="49">
        <f t="shared" si="170"/>
        <v>150</v>
      </c>
      <c r="I896" s="62">
        <f>I897+I898</f>
        <v>334.8</v>
      </c>
      <c r="J896" s="49">
        <f t="shared" si="179"/>
        <v>484.8</v>
      </c>
      <c r="K896" s="62">
        <f>K897+K898</f>
        <v>164.4</v>
      </c>
      <c r="L896" s="49">
        <f t="shared" si="176"/>
        <v>649.20000000000005</v>
      </c>
      <c r="M896" s="62">
        <f>M897+M898</f>
        <v>1041.5</v>
      </c>
      <c r="N896" s="49">
        <f t="shared" si="174"/>
        <v>1690.7</v>
      </c>
    </row>
    <row r="897" spans="1:14" x14ac:dyDescent="0.2">
      <c r="A897" s="50" t="str">
        <f ca="1">IF(ISERROR(MATCH(E897,Код_КВР,0)),"",INDIRECT(ADDRESS(MATCH(E897,Код_КВР,0)+1,2,,,"КВР")))</f>
        <v>Исполнение судебных актов</v>
      </c>
      <c r="B897" s="79" t="s">
        <v>358</v>
      </c>
      <c r="C897" s="65" t="s">
        <v>70</v>
      </c>
      <c r="D897" s="46" t="s">
        <v>55</v>
      </c>
      <c r="E897" s="26">
        <v>830</v>
      </c>
      <c r="F897" s="62">
        <f>'прил. 8'!G1111</f>
        <v>150</v>
      </c>
      <c r="G897" s="62">
        <f>'прил. 8'!H1111</f>
        <v>0</v>
      </c>
      <c r="H897" s="49">
        <f t="shared" ref="H897:H965" si="186">F897+G897</f>
        <v>150</v>
      </c>
      <c r="I897" s="62">
        <f>'прил. 8'!J1111</f>
        <v>323.3</v>
      </c>
      <c r="J897" s="49">
        <f t="shared" si="179"/>
        <v>473.3</v>
      </c>
      <c r="K897" s="62">
        <f>'прил. 8'!L1111</f>
        <v>164.4</v>
      </c>
      <c r="L897" s="49">
        <f t="shared" si="176"/>
        <v>637.70000000000005</v>
      </c>
      <c r="M897" s="62">
        <f>'прил. 8'!N1111</f>
        <v>185.3</v>
      </c>
      <c r="N897" s="49">
        <f t="shared" si="174"/>
        <v>823</v>
      </c>
    </row>
    <row r="898" spans="1:14" x14ac:dyDescent="0.2">
      <c r="A898" s="50" t="str">
        <f ca="1">IF(ISERROR(MATCH(E898,Код_КВР,0)),"",INDIRECT(ADDRESS(MATCH(E898,Код_КВР,0)+1,2,,,"КВР")))</f>
        <v>Уплата налогов, сборов и иных платежей</v>
      </c>
      <c r="B898" s="79" t="s">
        <v>358</v>
      </c>
      <c r="C898" s="65" t="s">
        <v>70</v>
      </c>
      <c r="D898" s="46" t="s">
        <v>55</v>
      </c>
      <c r="E898" s="26">
        <v>850</v>
      </c>
      <c r="F898" s="62">
        <f>'прил. 8'!G1112</f>
        <v>0</v>
      </c>
      <c r="G898" s="62">
        <f>'прил. 8'!H1112</f>
        <v>0</v>
      </c>
      <c r="H898" s="49">
        <f t="shared" si="186"/>
        <v>0</v>
      </c>
      <c r="I898" s="62">
        <f>'прил. 8'!J1112</f>
        <v>11.5</v>
      </c>
      <c r="J898" s="49">
        <f t="shared" si="179"/>
        <v>11.5</v>
      </c>
      <c r="K898" s="62">
        <f>'прил. 8'!L1112</f>
        <v>0</v>
      </c>
      <c r="L898" s="49">
        <f t="shared" si="176"/>
        <v>11.5</v>
      </c>
      <c r="M898" s="62">
        <f>'прил. 8'!N1112</f>
        <v>856.2</v>
      </c>
      <c r="N898" s="49">
        <f t="shared" si="174"/>
        <v>867.7</v>
      </c>
    </row>
    <row r="899" spans="1:14" ht="33" x14ac:dyDescent="0.2">
      <c r="A899" s="50" t="str">
        <f ca="1">IF(ISERROR(MATCH(B899,Код_КЦСР,0)),"",INDIRECT(ADDRESS(MATCH(B899,Код_КЦСР,0)+1,2,,,"КЦСР")))</f>
        <v>Обеспечение исполнения полномочий органа местного самоуправления в области наружной рекламы</v>
      </c>
      <c r="B899" s="79" t="s">
        <v>359</v>
      </c>
      <c r="C899" s="65"/>
      <c r="D899" s="46"/>
      <c r="E899" s="26"/>
      <c r="F899" s="62">
        <f>F900</f>
        <v>656</v>
      </c>
      <c r="G899" s="62">
        <f>G900</f>
        <v>0</v>
      </c>
      <c r="H899" s="49">
        <f t="shared" si="186"/>
        <v>656</v>
      </c>
      <c r="I899" s="62">
        <f>I900</f>
        <v>-334.8</v>
      </c>
      <c r="J899" s="49">
        <f t="shared" si="179"/>
        <v>321.2</v>
      </c>
      <c r="K899" s="62">
        <f>K900</f>
        <v>-67.5</v>
      </c>
      <c r="L899" s="49">
        <f t="shared" si="176"/>
        <v>253.7</v>
      </c>
      <c r="M899" s="62">
        <f>M900</f>
        <v>-161.30000000000001</v>
      </c>
      <c r="N899" s="49">
        <f t="shared" si="174"/>
        <v>92.399999999999977</v>
      </c>
    </row>
    <row r="900" spans="1:14" x14ac:dyDescent="0.2">
      <c r="A900" s="50" t="str">
        <f ca="1">IF(ISERROR(MATCH(C900,Код_Раздел,0)),"",INDIRECT(ADDRESS(MATCH(C900,Код_Раздел,0)+1,2,,,"Раздел")))</f>
        <v>Национальная экономика</v>
      </c>
      <c r="B900" s="79" t="s">
        <v>359</v>
      </c>
      <c r="C900" s="65" t="s">
        <v>73</v>
      </c>
      <c r="D900" s="46"/>
      <c r="E900" s="26"/>
      <c r="F900" s="62">
        <f t="shared" ref="F900:M902" si="187">F901</f>
        <v>656</v>
      </c>
      <c r="G900" s="62">
        <f t="shared" si="187"/>
        <v>0</v>
      </c>
      <c r="H900" s="49">
        <f t="shared" si="186"/>
        <v>656</v>
      </c>
      <c r="I900" s="62">
        <f t="shared" si="187"/>
        <v>-334.8</v>
      </c>
      <c r="J900" s="49">
        <f t="shared" si="179"/>
        <v>321.2</v>
      </c>
      <c r="K900" s="62">
        <f t="shared" si="187"/>
        <v>-67.5</v>
      </c>
      <c r="L900" s="49">
        <f t="shared" si="176"/>
        <v>253.7</v>
      </c>
      <c r="M900" s="62">
        <f t="shared" si="187"/>
        <v>-161.30000000000001</v>
      </c>
      <c r="N900" s="49">
        <f t="shared" si="174"/>
        <v>92.399999999999977</v>
      </c>
    </row>
    <row r="901" spans="1:14" x14ac:dyDescent="0.2">
      <c r="A901" s="45" t="s">
        <v>80</v>
      </c>
      <c r="B901" s="79" t="s">
        <v>359</v>
      </c>
      <c r="C901" s="65" t="s">
        <v>73</v>
      </c>
      <c r="D901" s="65" t="s">
        <v>61</v>
      </c>
      <c r="E901" s="26"/>
      <c r="F901" s="62">
        <f t="shared" si="187"/>
        <v>656</v>
      </c>
      <c r="G901" s="62">
        <f t="shared" si="187"/>
        <v>0</v>
      </c>
      <c r="H901" s="49">
        <f t="shared" si="186"/>
        <v>656</v>
      </c>
      <c r="I901" s="62">
        <f t="shared" si="187"/>
        <v>-334.8</v>
      </c>
      <c r="J901" s="49">
        <f t="shared" si="179"/>
        <v>321.2</v>
      </c>
      <c r="K901" s="62">
        <f t="shared" si="187"/>
        <v>-67.5</v>
      </c>
      <c r="L901" s="49">
        <f t="shared" si="176"/>
        <v>253.7</v>
      </c>
      <c r="M901" s="62">
        <f t="shared" si="187"/>
        <v>-161.30000000000001</v>
      </c>
      <c r="N901" s="49">
        <f t="shared" si="174"/>
        <v>92.399999999999977</v>
      </c>
    </row>
    <row r="902" spans="1:14" ht="33" x14ac:dyDescent="0.2">
      <c r="A902" s="50" t="str">
        <f ca="1">IF(ISERROR(MATCH(E902,Код_КВР,0)),"",INDIRECT(ADDRESS(MATCH(E902,Код_КВР,0)+1,2,,,"КВР")))</f>
        <v>Закупка товаров, работ и услуг для обеспечения государственных (муниципальных) нужд</v>
      </c>
      <c r="B902" s="79" t="s">
        <v>359</v>
      </c>
      <c r="C902" s="65" t="s">
        <v>73</v>
      </c>
      <c r="D902" s="65" t="s">
        <v>61</v>
      </c>
      <c r="E902" s="26">
        <v>200</v>
      </c>
      <c r="F902" s="62">
        <f t="shared" si="187"/>
        <v>656</v>
      </c>
      <c r="G902" s="62">
        <f t="shared" si="187"/>
        <v>0</v>
      </c>
      <c r="H902" s="49">
        <f t="shared" si="186"/>
        <v>656</v>
      </c>
      <c r="I902" s="62">
        <f t="shared" si="187"/>
        <v>-334.8</v>
      </c>
      <c r="J902" s="49">
        <f t="shared" si="179"/>
        <v>321.2</v>
      </c>
      <c r="K902" s="62">
        <f t="shared" si="187"/>
        <v>-67.5</v>
      </c>
      <c r="L902" s="49">
        <f t="shared" si="176"/>
        <v>253.7</v>
      </c>
      <c r="M902" s="62">
        <f t="shared" si="187"/>
        <v>-161.30000000000001</v>
      </c>
      <c r="N902" s="49">
        <f t="shared" si="174"/>
        <v>92.399999999999977</v>
      </c>
    </row>
    <row r="903" spans="1:14" ht="33" x14ac:dyDescent="0.2">
      <c r="A903" s="50" t="str">
        <f ca="1">IF(ISERROR(MATCH(E903,Код_КВР,0)),"",INDIRECT(ADDRESS(MATCH(E903,Код_КВР,0)+1,2,,,"КВР")))</f>
        <v>Иные закупки товаров, работ и услуг для обеспечения государственных (муниципальных) нужд</v>
      </c>
      <c r="B903" s="79" t="s">
        <v>359</v>
      </c>
      <c r="C903" s="65" t="s">
        <v>73</v>
      </c>
      <c r="D903" s="65" t="s">
        <v>61</v>
      </c>
      <c r="E903" s="26">
        <v>240</v>
      </c>
      <c r="F903" s="62">
        <f>'прил. 8'!G1161</f>
        <v>656</v>
      </c>
      <c r="G903" s="62">
        <f>'прил. 8'!H1161</f>
        <v>0</v>
      </c>
      <c r="H903" s="49">
        <f t="shared" si="186"/>
        <v>656</v>
      </c>
      <c r="I903" s="62">
        <f>'прил. 8'!J1161</f>
        <v>-334.8</v>
      </c>
      <c r="J903" s="49">
        <f t="shared" si="179"/>
        <v>321.2</v>
      </c>
      <c r="K903" s="62">
        <f>'прил. 8'!L1161</f>
        <v>-67.5</v>
      </c>
      <c r="L903" s="49">
        <f t="shared" si="176"/>
        <v>253.7</v>
      </c>
      <c r="M903" s="62">
        <f>'прил. 8'!N1161</f>
        <v>-161.30000000000001</v>
      </c>
      <c r="N903" s="49">
        <f t="shared" si="174"/>
        <v>92.399999999999977</v>
      </c>
    </row>
    <row r="904" spans="1:14" ht="33" x14ac:dyDescent="0.2">
      <c r="A904" s="50" t="str">
        <f ca="1">IF(ISERROR(MATCH(B904,Код_КЦСР,0)),"",INDIRECT(ADDRESS(MATCH(B904,Код_КЦСР,0)+1,2,,,"КЦСР")))</f>
        <v>Организация работ по реализации целей, задач комитета, выполнению его функциональных обязанностей и реализации муниципальной программы</v>
      </c>
      <c r="B904" s="61" t="s">
        <v>360</v>
      </c>
      <c r="C904" s="65"/>
      <c r="D904" s="46"/>
      <c r="E904" s="26"/>
      <c r="F904" s="62">
        <f t="shared" ref="F904:M906" si="188">F905</f>
        <v>27353.5</v>
      </c>
      <c r="G904" s="62">
        <f t="shared" si="188"/>
        <v>0</v>
      </c>
      <c r="H904" s="49">
        <f t="shared" si="186"/>
        <v>27353.5</v>
      </c>
      <c r="I904" s="62">
        <f t="shared" si="188"/>
        <v>0</v>
      </c>
      <c r="J904" s="49">
        <f t="shared" si="179"/>
        <v>27353.5</v>
      </c>
      <c r="K904" s="62">
        <f t="shared" si="188"/>
        <v>0</v>
      </c>
      <c r="L904" s="49">
        <f t="shared" si="176"/>
        <v>27353.5</v>
      </c>
      <c r="M904" s="62">
        <f t="shared" si="188"/>
        <v>-880.2</v>
      </c>
      <c r="N904" s="49">
        <f t="shared" si="174"/>
        <v>26473.3</v>
      </c>
    </row>
    <row r="905" spans="1:14" x14ac:dyDescent="0.2">
      <c r="A905" s="50" t="str">
        <f ca="1">IF(ISERROR(MATCH(B905,Код_КЦСР,0)),"",INDIRECT(ADDRESS(MATCH(B905,Код_КЦСР,0)+1,2,,,"КЦСР")))</f>
        <v>Расходы на обеспечение функций органов местного самоуправления</v>
      </c>
      <c r="B905" s="61" t="s">
        <v>361</v>
      </c>
      <c r="C905" s="65"/>
      <c r="D905" s="46"/>
      <c r="E905" s="26"/>
      <c r="F905" s="62">
        <f t="shared" si="188"/>
        <v>27353.5</v>
      </c>
      <c r="G905" s="62">
        <f t="shared" si="188"/>
        <v>0</v>
      </c>
      <c r="H905" s="49">
        <f t="shared" si="186"/>
        <v>27353.5</v>
      </c>
      <c r="I905" s="62">
        <f t="shared" si="188"/>
        <v>0</v>
      </c>
      <c r="J905" s="49">
        <f t="shared" si="179"/>
        <v>27353.5</v>
      </c>
      <c r="K905" s="62">
        <f t="shared" si="188"/>
        <v>0</v>
      </c>
      <c r="L905" s="49">
        <f t="shared" si="176"/>
        <v>27353.5</v>
      </c>
      <c r="M905" s="62">
        <f t="shared" si="188"/>
        <v>-880.2</v>
      </c>
      <c r="N905" s="49">
        <f t="shared" si="174"/>
        <v>26473.3</v>
      </c>
    </row>
    <row r="906" spans="1:14" x14ac:dyDescent="0.2">
      <c r="A906" s="50" t="str">
        <f ca="1">IF(ISERROR(MATCH(C906,Код_Раздел,0)),"",INDIRECT(ADDRESS(MATCH(C906,Код_Раздел,0)+1,2,,,"Раздел")))</f>
        <v>Национальная экономика</v>
      </c>
      <c r="B906" s="61" t="s">
        <v>361</v>
      </c>
      <c r="C906" s="65" t="s">
        <v>73</v>
      </c>
      <c r="D906" s="46"/>
      <c r="E906" s="26"/>
      <c r="F906" s="62">
        <f t="shared" si="188"/>
        <v>27353.5</v>
      </c>
      <c r="G906" s="62">
        <f t="shared" si="188"/>
        <v>0</v>
      </c>
      <c r="H906" s="49">
        <f t="shared" si="186"/>
        <v>27353.5</v>
      </c>
      <c r="I906" s="62">
        <f t="shared" si="188"/>
        <v>0</v>
      </c>
      <c r="J906" s="49">
        <f t="shared" si="179"/>
        <v>27353.5</v>
      </c>
      <c r="K906" s="62">
        <f t="shared" si="188"/>
        <v>0</v>
      </c>
      <c r="L906" s="49">
        <f t="shared" si="176"/>
        <v>27353.5</v>
      </c>
      <c r="M906" s="62">
        <f t="shared" si="188"/>
        <v>-880.2</v>
      </c>
      <c r="N906" s="49">
        <f t="shared" si="174"/>
        <v>26473.3</v>
      </c>
    </row>
    <row r="907" spans="1:14" x14ac:dyDescent="0.2">
      <c r="A907" s="45" t="s">
        <v>80</v>
      </c>
      <c r="B907" s="61" t="s">
        <v>361</v>
      </c>
      <c r="C907" s="65" t="s">
        <v>73</v>
      </c>
      <c r="D907" s="65" t="s">
        <v>61</v>
      </c>
      <c r="E907" s="26"/>
      <c r="F907" s="62">
        <f>F908+F910</f>
        <v>27353.5</v>
      </c>
      <c r="G907" s="62">
        <f>G908+G910</f>
        <v>0</v>
      </c>
      <c r="H907" s="49">
        <f t="shared" si="186"/>
        <v>27353.5</v>
      </c>
      <c r="I907" s="62">
        <f>I908+I910</f>
        <v>0</v>
      </c>
      <c r="J907" s="49">
        <f t="shared" si="179"/>
        <v>27353.5</v>
      </c>
      <c r="K907" s="62">
        <f>K908+K910</f>
        <v>0</v>
      </c>
      <c r="L907" s="49">
        <f t="shared" si="176"/>
        <v>27353.5</v>
      </c>
      <c r="M907" s="62">
        <f>M908+M910</f>
        <v>-880.2</v>
      </c>
      <c r="N907" s="49">
        <f t="shared" si="174"/>
        <v>26473.3</v>
      </c>
    </row>
    <row r="908" spans="1:14" ht="49.5" x14ac:dyDescent="0.2">
      <c r="A908" s="50" t="str">
        <f t="shared" ref="A908:A911" ca="1" si="189">IF(ISERROR(MATCH(E908,Код_КВР,0)),"",INDIRECT(ADDRESS(MATCH(E908,Код_КВР,0)+1,2,,,"КВР")))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08" s="61" t="s">
        <v>361</v>
      </c>
      <c r="C908" s="65" t="s">
        <v>73</v>
      </c>
      <c r="D908" s="65" t="s">
        <v>61</v>
      </c>
      <c r="E908" s="26">
        <v>100</v>
      </c>
      <c r="F908" s="62">
        <f>F909</f>
        <v>27338.5</v>
      </c>
      <c r="G908" s="62">
        <f>G909</f>
        <v>0</v>
      </c>
      <c r="H908" s="49">
        <f t="shared" si="186"/>
        <v>27338.5</v>
      </c>
      <c r="I908" s="62">
        <f>I909</f>
        <v>0</v>
      </c>
      <c r="J908" s="49">
        <f t="shared" si="179"/>
        <v>27338.5</v>
      </c>
      <c r="K908" s="62">
        <f>K909</f>
        <v>0</v>
      </c>
      <c r="L908" s="49">
        <f t="shared" si="176"/>
        <v>27338.5</v>
      </c>
      <c r="M908" s="62">
        <f>M909</f>
        <v>-880.2</v>
      </c>
      <c r="N908" s="49">
        <f t="shared" si="174"/>
        <v>26458.3</v>
      </c>
    </row>
    <row r="909" spans="1:14" x14ac:dyDescent="0.2">
      <c r="A909" s="50" t="str">
        <f t="shared" ca="1" si="189"/>
        <v>Расходы на выплаты персоналу государственных (муниципальных) органов</v>
      </c>
      <c r="B909" s="61" t="s">
        <v>361</v>
      </c>
      <c r="C909" s="65" t="s">
        <v>73</v>
      </c>
      <c r="D909" s="65" t="s">
        <v>61</v>
      </c>
      <c r="E909" s="26">
        <v>120</v>
      </c>
      <c r="F909" s="62">
        <f>'прил. 8'!G1165</f>
        <v>27338.5</v>
      </c>
      <c r="G909" s="62">
        <f>'прил. 8'!H1165</f>
        <v>0</v>
      </c>
      <c r="H909" s="49">
        <f t="shared" si="186"/>
        <v>27338.5</v>
      </c>
      <c r="I909" s="62">
        <f>'прил. 8'!J1165</f>
        <v>0</v>
      </c>
      <c r="J909" s="49">
        <f t="shared" si="179"/>
        <v>27338.5</v>
      </c>
      <c r="K909" s="62">
        <f>'прил. 8'!L1165</f>
        <v>0</v>
      </c>
      <c r="L909" s="49">
        <f t="shared" si="176"/>
        <v>27338.5</v>
      </c>
      <c r="M909" s="62">
        <f>'прил. 8'!N1165</f>
        <v>-880.2</v>
      </c>
      <c r="N909" s="49">
        <f t="shared" si="174"/>
        <v>26458.3</v>
      </c>
    </row>
    <row r="910" spans="1:14" ht="33" x14ac:dyDescent="0.2">
      <c r="A910" s="50" t="str">
        <f t="shared" ca="1" si="189"/>
        <v>Закупка товаров, работ и услуг для обеспечения государственных (муниципальных) нужд</v>
      </c>
      <c r="B910" s="61" t="s">
        <v>361</v>
      </c>
      <c r="C910" s="65" t="s">
        <v>73</v>
      </c>
      <c r="D910" s="65" t="s">
        <v>61</v>
      </c>
      <c r="E910" s="26">
        <v>200</v>
      </c>
      <c r="F910" s="62">
        <f>F911</f>
        <v>15</v>
      </c>
      <c r="G910" s="62">
        <f>G911</f>
        <v>0</v>
      </c>
      <c r="H910" s="49">
        <f t="shared" si="186"/>
        <v>15</v>
      </c>
      <c r="I910" s="62">
        <f>I911</f>
        <v>0</v>
      </c>
      <c r="J910" s="49">
        <f t="shared" si="179"/>
        <v>15</v>
      </c>
      <c r="K910" s="62">
        <f>K911</f>
        <v>0</v>
      </c>
      <c r="L910" s="49">
        <f t="shared" si="176"/>
        <v>15</v>
      </c>
      <c r="M910" s="62">
        <f>M911</f>
        <v>0</v>
      </c>
      <c r="N910" s="49">
        <f t="shared" si="174"/>
        <v>15</v>
      </c>
    </row>
    <row r="911" spans="1:14" ht="33" x14ac:dyDescent="0.2">
      <c r="A911" s="50" t="str">
        <f t="shared" ca="1" si="189"/>
        <v>Иные закупки товаров, работ и услуг для обеспечения государственных (муниципальных) нужд</v>
      </c>
      <c r="B911" s="61" t="s">
        <v>361</v>
      </c>
      <c r="C911" s="65" t="s">
        <v>73</v>
      </c>
      <c r="D911" s="65" t="s">
        <v>61</v>
      </c>
      <c r="E911" s="26">
        <v>240</v>
      </c>
      <c r="F911" s="62">
        <f>'прил. 8'!G1167</f>
        <v>15</v>
      </c>
      <c r="G911" s="62">
        <f>'прил. 8'!H1167</f>
        <v>0</v>
      </c>
      <c r="H911" s="49">
        <f t="shared" si="186"/>
        <v>15</v>
      </c>
      <c r="I911" s="62">
        <f>'прил. 8'!J1167</f>
        <v>0</v>
      </c>
      <c r="J911" s="49">
        <f t="shared" si="179"/>
        <v>15</v>
      </c>
      <c r="K911" s="62">
        <f>'прил. 8'!L1167</f>
        <v>0</v>
      </c>
      <c r="L911" s="49">
        <f t="shared" si="176"/>
        <v>15</v>
      </c>
      <c r="M911" s="62">
        <f>'прил. 8'!N1167</f>
        <v>0</v>
      </c>
      <c r="N911" s="49">
        <f t="shared" si="174"/>
        <v>15</v>
      </c>
    </row>
    <row r="912" spans="1:14" ht="66" x14ac:dyDescent="0.2">
      <c r="A912" s="50" t="str">
        <f ca="1">IF(ISERROR(MATCH(B912,Код_КЦСР,0)),"",INDIRECT(ADDRESS(MATCH(B912,Код_КЦСР,0)+1,2,,,"КЦСР")))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912" s="61" t="s">
        <v>362</v>
      </c>
      <c r="C912" s="65"/>
      <c r="D912" s="46"/>
      <c r="E912" s="26"/>
      <c r="F912" s="62">
        <f>F913+F1003+F1051</f>
        <v>1476314.7000000002</v>
      </c>
      <c r="G912" s="62">
        <f>G913+G1003+G1051</f>
        <v>18553.599999999999</v>
      </c>
      <c r="H912" s="49">
        <f t="shared" si="186"/>
        <v>1494868.3000000003</v>
      </c>
      <c r="I912" s="62">
        <f>I913+I1003+I1051</f>
        <v>-81195.100000000006</v>
      </c>
      <c r="J912" s="49">
        <f t="shared" si="179"/>
        <v>1413673.2000000002</v>
      </c>
      <c r="K912" s="62">
        <f>K913+K1003+K1051</f>
        <v>81070.799999999988</v>
      </c>
      <c r="L912" s="49">
        <f t="shared" si="176"/>
        <v>1494744.0000000002</v>
      </c>
      <c r="M912" s="62">
        <f>M913+M1003+M1051</f>
        <v>-137764.20000000001</v>
      </c>
      <c r="N912" s="49">
        <f t="shared" si="174"/>
        <v>1356979.8000000003</v>
      </c>
    </row>
    <row r="913" spans="1:14" ht="33" x14ac:dyDescent="0.2">
      <c r="A913" s="50" t="str">
        <f ca="1">IF(ISERROR(MATCH(B913,Код_КЦСР,0)),"",INDIRECT(ADDRESS(MATCH(B913,Код_КЦСР,0)+1,2,,,"КЦСР")))</f>
        <v>Осуществление бюджетных инвестиций в объекты муниципальной собственности</v>
      </c>
      <c r="B913" s="61" t="s">
        <v>363</v>
      </c>
      <c r="C913" s="65"/>
      <c r="D913" s="46"/>
      <c r="E913" s="26"/>
      <c r="F913" s="62">
        <f>F914+F947+F937+F972+F977+F952+F982+F942+F962+F967</f>
        <v>1379372.1</v>
      </c>
      <c r="G913" s="62">
        <f>G914+G947+G937+G972+G977+G952+G982+G942+G962+G967</f>
        <v>10133.6</v>
      </c>
      <c r="H913" s="49">
        <f t="shared" si="186"/>
        <v>1389505.7000000002</v>
      </c>
      <c r="I913" s="62">
        <f>I914+I947+I937+I972+I977+I952+I982+I942+I962+I967</f>
        <v>-81195.100000000006</v>
      </c>
      <c r="J913" s="49">
        <f t="shared" si="179"/>
        <v>1308310.6000000001</v>
      </c>
      <c r="K913" s="62">
        <f>K914+K947+K937+K972+K977+K952+K982+K942+K962+K967+K957</f>
        <v>61334.799999999996</v>
      </c>
      <c r="L913" s="49">
        <f t="shared" si="176"/>
        <v>1369645.4000000001</v>
      </c>
      <c r="M913" s="62">
        <f>M914+M947+M937+M972+M977+M952+M982+M942+M962+M967+M957</f>
        <v>-137793.90000000002</v>
      </c>
      <c r="N913" s="49">
        <f t="shared" si="174"/>
        <v>1231851.5</v>
      </c>
    </row>
    <row r="914" spans="1:14" x14ac:dyDescent="0.2">
      <c r="A914" s="50" t="str">
        <f ca="1">IF(ISERROR(MATCH(B914,Код_КЦСР,0)),"",INDIRECT(ADDRESS(MATCH(B914,Код_КЦСР,0)+1,2,,,"КЦСР")))</f>
        <v>Строительство объектов сметной стоимостью до 100 млн. рублей</v>
      </c>
      <c r="B914" s="61" t="s">
        <v>364</v>
      </c>
      <c r="C914" s="65"/>
      <c r="D914" s="46"/>
      <c r="E914" s="26"/>
      <c r="F914" s="62">
        <f>F915+F919+F923+F930</f>
        <v>71341.400000000009</v>
      </c>
      <c r="G914" s="62">
        <f>G915+G919+G923+G930</f>
        <v>10133.6</v>
      </c>
      <c r="H914" s="49">
        <f t="shared" si="186"/>
        <v>81475.000000000015</v>
      </c>
      <c r="I914" s="62">
        <f>I915+I919+I923+I930</f>
        <v>0</v>
      </c>
      <c r="J914" s="49">
        <f t="shared" si="179"/>
        <v>81475.000000000015</v>
      </c>
      <c r="K914" s="62">
        <f>K915+K919+K923+K930</f>
        <v>19203.900000000001</v>
      </c>
      <c r="L914" s="49">
        <f t="shared" si="176"/>
        <v>100678.90000000002</v>
      </c>
      <c r="M914" s="62">
        <f>M915+M919+M923+M930</f>
        <v>-2049.6999999999998</v>
      </c>
      <c r="N914" s="49">
        <f t="shared" ref="N914:N977" si="190">L914+M914</f>
        <v>98629.200000000026</v>
      </c>
    </row>
    <row r="915" spans="1:14" x14ac:dyDescent="0.2">
      <c r="A915" s="50" t="str">
        <f ca="1">IF(ISERROR(MATCH(C915,Код_Раздел,0)),"",INDIRECT(ADDRESS(MATCH(C915,Код_Раздел,0)+1,2,,,"Раздел")))</f>
        <v>Национальная экономика</v>
      </c>
      <c r="B915" s="61" t="s">
        <v>364</v>
      </c>
      <c r="C915" s="65" t="s">
        <v>73</v>
      </c>
      <c r="D915" s="46"/>
      <c r="E915" s="26"/>
      <c r="F915" s="62">
        <f>F916</f>
        <v>14284.3</v>
      </c>
      <c r="G915" s="62">
        <f>G916</f>
        <v>10133.6</v>
      </c>
      <c r="H915" s="49">
        <f t="shared" si="186"/>
        <v>24417.9</v>
      </c>
      <c r="I915" s="62">
        <f>I916</f>
        <v>0</v>
      </c>
      <c r="J915" s="49">
        <f t="shared" si="179"/>
        <v>24417.9</v>
      </c>
      <c r="K915" s="62">
        <f>K916</f>
        <v>10854.9</v>
      </c>
      <c r="L915" s="49">
        <f t="shared" si="176"/>
        <v>35272.800000000003</v>
      </c>
      <c r="M915" s="62">
        <f>M916</f>
        <v>-470.2</v>
      </c>
      <c r="N915" s="49">
        <f t="shared" si="190"/>
        <v>34802.600000000006</v>
      </c>
    </row>
    <row r="916" spans="1:14" x14ac:dyDescent="0.2">
      <c r="A916" s="51" t="s">
        <v>45</v>
      </c>
      <c r="B916" s="61" t="s">
        <v>364</v>
      </c>
      <c r="C916" s="65" t="s">
        <v>73</v>
      </c>
      <c r="D916" s="65" t="s">
        <v>76</v>
      </c>
      <c r="E916" s="26"/>
      <c r="F916" s="62">
        <f t="shared" ref="F916:M917" si="191">F917</f>
        <v>14284.3</v>
      </c>
      <c r="G916" s="62">
        <f t="shared" si="191"/>
        <v>10133.6</v>
      </c>
      <c r="H916" s="49">
        <f t="shared" si="186"/>
        <v>24417.9</v>
      </c>
      <c r="I916" s="62">
        <f t="shared" si="191"/>
        <v>0</v>
      </c>
      <c r="J916" s="49">
        <f t="shared" si="179"/>
        <v>24417.9</v>
      </c>
      <c r="K916" s="62">
        <f t="shared" si="191"/>
        <v>10854.9</v>
      </c>
      <c r="L916" s="49">
        <f t="shared" ref="L916:L979" si="192">J916+K916</f>
        <v>35272.800000000003</v>
      </c>
      <c r="M916" s="62">
        <f t="shared" si="191"/>
        <v>-470.2</v>
      </c>
      <c r="N916" s="49">
        <f t="shared" si="190"/>
        <v>34802.600000000006</v>
      </c>
    </row>
    <row r="917" spans="1:14" ht="33" x14ac:dyDescent="0.2">
      <c r="A917" s="50" t="str">
        <f ca="1">IF(ISERROR(MATCH(E917,Код_КВР,0)),"",INDIRECT(ADDRESS(MATCH(E917,Код_КВР,0)+1,2,,,"КВР")))</f>
        <v>Капитальные вложения в объекты государственной (муниципальной) собственности</v>
      </c>
      <c r="B917" s="61" t="s">
        <v>364</v>
      </c>
      <c r="C917" s="65" t="s">
        <v>73</v>
      </c>
      <c r="D917" s="65" t="s">
        <v>76</v>
      </c>
      <c r="E917" s="26">
        <v>400</v>
      </c>
      <c r="F917" s="62">
        <f t="shared" si="191"/>
        <v>14284.3</v>
      </c>
      <c r="G917" s="62">
        <f t="shared" si="191"/>
        <v>10133.6</v>
      </c>
      <c r="H917" s="49">
        <f t="shared" si="186"/>
        <v>24417.9</v>
      </c>
      <c r="I917" s="62">
        <f t="shared" si="191"/>
        <v>0</v>
      </c>
      <c r="J917" s="49">
        <f t="shared" si="179"/>
        <v>24417.9</v>
      </c>
      <c r="K917" s="62">
        <f t="shared" si="191"/>
        <v>10854.9</v>
      </c>
      <c r="L917" s="49">
        <f t="shared" si="192"/>
        <v>35272.800000000003</v>
      </c>
      <c r="M917" s="62">
        <f t="shared" si="191"/>
        <v>-470.2</v>
      </c>
      <c r="N917" s="49">
        <f t="shared" si="190"/>
        <v>34802.600000000006</v>
      </c>
    </row>
    <row r="918" spans="1:14" x14ac:dyDescent="0.2">
      <c r="A918" s="50" t="str">
        <f ca="1">IF(ISERROR(MATCH(E918,Код_КВР,0)),"",INDIRECT(ADDRESS(MATCH(E918,Код_КВР,0)+1,2,,,"КВР")))</f>
        <v>Бюджетные инвестиции</v>
      </c>
      <c r="B918" s="61" t="s">
        <v>364</v>
      </c>
      <c r="C918" s="65" t="s">
        <v>73</v>
      </c>
      <c r="D918" s="65" t="s">
        <v>76</v>
      </c>
      <c r="E918" s="26">
        <v>410</v>
      </c>
      <c r="F918" s="62">
        <f>'прил. 8'!G1133</f>
        <v>14284.3</v>
      </c>
      <c r="G918" s="62">
        <f>'прил. 8'!H1133</f>
        <v>10133.6</v>
      </c>
      <c r="H918" s="49">
        <f t="shared" si="186"/>
        <v>24417.9</v>
      </c>
      <c r="I918" s="62">
        <f>'прил. 8'!J1133</f>
        <v>0</v>
      </c>
      <c r="J918" s="49">
        <f t="shared" si="179"/>
        <v>24417.9</v>
      </c>
      <c r="K918" s="62">
        <f>'прил. 8'!L1133</f>
        <v>10854.9</v>
      </c>
      <c r="L918" s="49">
        <f t="shared" si="192"/>
        <v>35272.800000000003</v>
      </c>
      <c r="M918" s="62">
        <f>'прил. 8'!N1133</f>
        <v>-470.2</v>
      </c>
      <c r="N918" s="49">
        <f t="shared" si="190"/>
        <v>34802.600000000006</v>
      </c>
    </row>
    <row r="919" spans="1:14" x14ac:dyDescent="0.2">
      <c r="A919" s="50" t="str">
        <f ca="1">IF(ISERROR(MATCH(C919,Код_Раздел,0)),"",INDIRECT(ADDRESS(MATCH(C919,Код_Раздел,0)+1,2,,,"Раздел")))</f>
        <v>Жилищно-коммунальное хозяйство</v>
      </c>
      <c r="B919" s="61" t="s">
        <v>364</v>
      </c>
      <c r="C919" s="65" t="s">
        <v>78</v>
      </c>
      <c r="D919" s="46"/>
      <c r="E919" s="26"/>
      <c r="F919" s="62">
        <f>F920</f>
        <v>48217.100000000006</v>
      </c>
      <c r="G919" s="62">
        <f>G920</f>
        <v>0</v>
      </c>
      <c r="H919" s="49">
        <f t="shared" si="186"/>
        <v>48217.100000000006</v>
      </c>
      <c r="I919" s="62">
        <f>I920</f>
        <v>0</v>
      </c>
      <c r="J919" s="49">
        <f t="shared" si="179"/>
        <v>48217.100000000006</v>
      </c>
      <c r="K919" s="62">
        <f>K920</f>
        <v>8349</v>
      </c>
      <c r="L919" s="49">
        <f t="shared" si="192"/>
        <v>56566.100000000006</v>
      </c>
      <c r="M919" s="62">
        <f>M920</f>
        <v>420.5</v>
      </c>
      <c r="N919" s="49">
        <f t="shared" si="190"/>
        <v>56986.600000000006</v>
      </c>
    </row>
    <row r="920" spans="1:14" x14ac:dyDescent="0.2">
      <c r="A920" s="50" t="s">
        <v>104</v>
      </c>
      <c r="B920" s="61" t="s">
        <v>364</v>
      </c>
      <c r="C920" s="65" t="s">
        <v>78</v>
      </c>
      <c r="D920" s="65" t="s">
        <v>72</v>
      </c>
      <c r="E920" s="26"/>
      <c r="F920" s="62">
        <f t="shared" ref="F920:M921" si="193">F921</f>
        <v>48217.100000000006</v>
      </c>
      <c r="G920" s="62">
        <f t="shared" si="193"/>
        <v>0</v>
      </c>
      <c r="H920" s="49">
        <f t="shared" si="186"/>
        <v>48217.100000000006</v>
      </c>
      <c r="I920" s="62">
        <f t="shared" si="193"/>
        <v>0</v>
      </c>
      <c r="J920" s="49">
        <f t="shared" si="179"/>
        <v>48217.100000000006</v>
      </c>
      <c r="K920" s="62">
        <f t="shared" si="193"/>
        <v>8349</v>
      </c>
      <c r="L920" s="49">
        <f t="shared" si="192"/>
        <v>56566.100000000006</v>
      </c>
      <c r="M920" s="62">
        <f t="shared" si="193"/>
        <v>420.5</v>
      </c>
      <c r="N920" s="49">
        <f t="shared" si="190"/>
        <v>56986.600000000006</v>
      </c>
    </row>
    <row r="921" spans="1:14" ht="33" x14ac:dyDescent="0.2">
      <c r="A921" s="50" t="str">
        <f ca="1">IF(ISERROR(MATCH(E921,Код_КВР,0)),"",INDIRECT(ADDRESS(MATCH(E921,Код_КВР,0)+1,2,,,"КВР")))</f>
        <v>Капитальные вложения в объекты государственной (муниципальной) собственности</v>
      </c>
      <c r="B921" s="61" t="s">
        <v>364</v>
      </c>
      <c r="C921" s="65" t="s">
        <v>78</v>
      </c>
      <c r="D921" s="65" t="s">
        <v>72</v>
      </c>
      <c r="E921" s="26">
        <v>400</v>
      </c>
      <c r="F921" s="62">
        <f t="shared" si="193"/>
        <v>48217.100000000006</v>
      </c>
      <c r="G921" s="62">
        <f t="shared" si="193"/>
        <v>0</v>
      </c>
      <c r="H921" s="49">
        <f t="shared" si="186"/>
        <v>48217.100000000006</v>
      </c>
      <c r="I921" s="62">
        <f t="shared" si="193"/>
        <v>0</v>
      </c>
      <c r="J921" s="49">
        <f t="shared" si="179"/>
        <v>48217.100000000006</v>
      </c>
      <c r="K921" s="62">
        <f t="shared" si="193"/>
        <v>8349</v>
      </c>
      <c r="L921" s="49">
        <f t="shared" si="192"/>
        <v>56566.100000000006</v>
      </c>
      <c r="M921" s="62">
        <f t="shared" si="193"/>
        <v>420.5</v>
      </c>
      <c r="N921" s="49">
        <f t="shared" si="190"/>
        <v>56986.600000000006</v>
      </c>
    </row>
    <row r="922" spans="1:14" x14ac:dyDescent="0.2">
      <c r="A922" s="50" t="str">
        <f ca="1">IF(ISERROR(MATCH(E922,Код_КВР,0)),"",INDIRECT(ADDRESS(MATCH(E922,Код_КВР,0)+1,2,,,"КВР")))</f>
        <v>Бюджетные инвестиции</v>
      </c>
      <c r="B922" s="61" t="s">
        <v>364</v>
      </c>
      <c r="C922" s="65" t="s">
        <v>78</v>
      </c>
      <c r="D922" s="65" t="s">
        <v>72</v>
      </c>
      <c r="E922" s="26">
        <v>410</v>
      </c>
      <c r="F922" s="62">
        <f>'прил. 8'!G1209</f>
        <v>48217.100000000006</v>
      </c>
      <c r="G922" s="62">
        <f>'прил. 8'!H1209</f>
        <v>0</v>
      </c>
      <c r="H922" s="49">
        <f t="shared" si="186"/>
        <v>48217.100000000006</v>
      </c>
      <c r="I922" s="62">
        <f>'прил. 8'!J1209</f>
        <v>0</v>
      </c>
      <c r="J922" s="49">
        <f t="shared" si="179"/>
        <v>48217.100000000006</v>
      </c>
      <c r="K922" s="62">
        <f>'прил. 8'!L1209</f>
        <v>8349</v>
      </c>
      <c r="L922" s="49">
        <f t="shared" si="192"/>
        <v>56566.100000000006</v>
      </c>
      <c r="M922" s="62">
        <f>'прил. 8'!N1209</f>
        <v>420.5</v>
      </c>
      <c r="N922" s="49">
        <f t="shared" si="190"/>
        <v>56986.600000000006</v>
      </c>
    </row>
    <row r="923" spans="1:14" x14ac:dyDescent="0.2">
      <c r="A923" s="50" t="str">
        <f ca="1">IF(ISERROR(MATCH(C923,Код_Раздел,0)),"",INDIRECT(ADDRESS(MATCH(C923,Код_Раздел,0)+1,2,,,"Раздел")))</f>
        <v>Образование</v>
      </c>
      <c r="B923" s="61" t="s">
        <v>364</v>
      </c>
      <c r="C923" s="65" t="s">
        <v>60</v>
      </c>
      <c r="D923" s="46"/>
      <c r="E923" s="26"/>
      <c r="F923" s="62">
        <f>F927+F924</f>
        <v>8840</v>
      </c>
      <c r="G923" s="62">
        <f>G927+G924</f>
        <v>0</v>
      </c>
      <c r="H923" s="49">
        <f t="shared" si="186"/>
        <v>8840</v>
      </c>
      <c r="I923" s="62">
        <f>I927+I924</f>
        <v>0</v>
      </c>
      <c r="J923" s="49">
        <f t="shared" si="179"/>
        <v>8840</v>
      </c>
      <c r="K923" s="62">
        <f>K927+K924</f>
        <v>0</v>
      </c>
      <c r="L923" s="49">
        <f t="shared" si="192"/>
        <v>8840</v>
      </c>
      <c r="M923" s="62">
        <f>M927+M924</f>
        <v>-2000</v>
      </c>
      <c r="N923" s="49">
        <f t="shared" si="190"/>
        <v>6840</v>
      </c>
    </row>
    <row r="924" spans="1:14" hidden="1" x14ac:dyDescent="0.2">
      <c r="A924" s="45" t="s">
        <v>109</v>
      </c>
      <c r="B924" s="61" t="s">
        <v>364</v>
      </c>
      <c r="C924" s="65" t="s">
        <v>60</v>
      </c>
      <c r="D924" s="46" t="s">
        <v>70</v>
      </c>
      <c r="E924" s="26"/>
      <c r="F924" s="62">
        <f>F925</f>
        <v>0</v>
      </c>
      <c r="G924" s="62">
        <f>G925</f>
        <v>0</v>
      </c>
      <c r="H924" s="49">
        <f t="shared" si="186"/>
        <v>0</v>
      </c>
      <c r="I924" s="62">
        <f>I925</f>
        <v>0</v>
      </c>
      <c r="J924" s="49">
        <f t="shared" si="179"/>
        <v>0</v>
      </c>
      <c r="K924" s="62">
        <f>K925</f>
        <v>0</v>
      </c>
      <c r="L924" s="49">
        <f t="shared" si="192"/>
        <v>0</v>
      </c>
      <c r="M924" s="62">
        <f>M925</f>
        <v>0</v>
      </c>
      <c r="N924" s="49">
        <f t="shared" si="190"/>
        <v>0</v>
      </c>
    </row>
    <row r="925" spans="1:14" ht="33" hidden="1" x14ac:dyDescent="0.2">
      <c r="A925" s="50" t="str">
        <f ca="1">IF(ISERROR(MATCH(E925,Код_КВР,0)),"",INDIRECT(ADDRESS(MATCH(E925,Код_КВР,0)+1,2,,,"КВР")))</f>
        <v>Капитальные вложения в объекты государственной (муниципальной) собственности</v>
      </c>
      <c r="B925" s="61" t="s">
        <v>364</v>
      </c>
      <c r="C925" s="65" t="s">
        <v>60</v>
      </c>
      <c r="D925" s="46" t="s">
        <v>70</v>
      </c>
      <c r="E925" s="26">
        <v>400</v>
      </c>
      <c r="F925" s="62">
        <f>F926</f>
        <v>0</v>
      </c>
      <c r="G925" s="62">
        <f>G926</f>
        <v>0</v>
      </c>
      <c r="H925" s="49">
        <f t="shared" si="186"/>
        <v>0</v>
      </c>
      <c r="I925" s="62">
        <f>I926</f>
        <v>0</v>
      </c>
      <c r="J925" s="49">
        <f t="shared" si="179"/>
        <v>0</v>
      </c>
      <c r="K925" s="62">
        <f>K926</f>
        <v>0</v>
      </c>
      <c r="L925" s="49">
        <f t="shared" si="192"/>
        <v>0</v>
      </c>
      <c r="M925" s="62">
        <f>M926</f>
        <v>0</v>
      </c>
      <c r="N925" s="49">
        <f t="shared" si="190"/>
        <v>0</v>
      </c>
    </row>
    <row r="926" spans="1:14" hidden="1" x14ac:dyDescent="0.2">
      <c r="A926" s="50" t="str">
        <f ca="1">IF(ISERROR(MATCH(E926,Код_КВР,0)),"",INDIRECT(ADDRESS(MATCH(E926,Код_КВР,0)+1,2,,,"КВР")))</f>
        <v>Бюджетные инвестиции</v>
      </c>
      <c r="B926" s="61" t="s">
        <v>364</v>
      </c>
      <c r="C926" s="65" t="s">
        <v>60</v>
      </c>
      <c r="D926" s="46" t="s">
        <v>70</v>
      </c>
      <c r="E926" s="26">
        <v>410</v>
      </c>
      <c r="F926" s="62">
        <f>'прил. 8'!G1224</f>
        <v>0</v>
      </c>
      <c r="G926" s="62">
        <f>'прил. 8'!H1224</f>
        <v>0</v>
      </c>
      <c r="H926" s="49">
        <f t="shared" si="186"/>
        <v>0</v>
      </c>
      <c r="I926" s="62">
        <f>'прил. 8'!J1224</f>
        <v>0</v>
      </c>
      <c r="J926" s="49">
        <f t="shared" si="179"/>
        <v>0</v>
      </c>
      <c r="K926" s="62">
        <f>'прил. 8'!L1224</f>
        <v>0</v>
      </c>
      <c r="L926" s="49">
        <f t="shared" si="192"/>
        <v>0</v>
      </c>
      <c r="M926" s="62"/>
      <c r="N926" s="49">
        <f t="shared" si="190"/>
        <v>0</v>
      </c>
    </row>
    <row r="927" spans="1:14" x14ac:dyDescent="0.2">
      <c r="A927" s="45" t="s">
        <v>102</v>
      </c>
      <c r="B927" s="61" t="s">
        <v>364</v>
      </c>
      <c r="C927" s="65" t="s">
        <v>60</v>
      </c>
      <c r="D927" s="46" t="s">
        <v>71</v>
      </c>
      <c r="E927" s="26"/>
      <c r="F927" s="62">
        <f t="shared" ref="F927:M928" si="194">F928</f>
        <v>8840</v>
      </c>
      <c r="G927" s="62">
        <f t="shared" si="194"/>
        <v>0</v>
      </c>
      <c r="H927" s="49">
        <f t="shared" si="186"/>
        <v>8840</v>
      </c>
      <c r="I927" s="62">
        <f t="shared" si="194"/>
        <v>0</v>
      </c>
      <c r="J927" s="49">
        <f t="shared" si="179"/>
        <v>8840</v>
      </c>
      <c r="K927" s="62">
        <f t="shared" si="194"/>
        <v>0</v>
      </c>
      <c r="L927" s="49">
        <f t="shared" si="192"/>
        <v>8840</v>
      </c>
      <c r="M927" s="62">
        <f t="shared" si="194"/>
        <v>-2000</v>
      </c>
      <c r="N927" s="49">
        <f t="shared" si="190"/>
        <v>6840</v>
      </c>
    </row>
    <row r="928" spans="1:14" ht="33" x14ac:dyDescent="0.2">
      <c r="A928" s="50" t="str">
        <f ca="1">IF(ISERROR(MATCH(E928,Код_КВР,0)),"",INDIRECT(ADDRESS(MATCH(E928,Код_КВР,0)+1,2,,,"КВР")))</f>
        <v>Капитальные вложения в объекты государственной (муниципальной) собственности</v>
      </c>
      <c r="B928" s="61" t="s">
        <v>364</v>
      </c>
      <c r="C928" s="65" t="s">
        <v>60</v>
      </c>
      <c r="D928" s="46" t="s">
        <v>71</v>
      </c>
      <c r="E928" s="26">
        <v>400</v>
      </c>
      <c r="F928" s="62">
        <f t="shared" si="194"/>
        <v>8840</v>
      </c>
      <c r="G928" s="62">
        <f t="shared" si="194"/>
        <v>0</v>
      </c>
      <c r="H928" s="49">
        <f t="shared" si="186"/>
        <v>8840</v>
      </c>
      <c r="I928" s="62">
        <f t="shared" si="194"/>
        <v>0</v>
      </c>
      <c r="J928" s="49">
        <f t="shared" si="179"/>
        <v>8840</v>
      </c>
      <c r="K928" s="62">
        <f t="shared" si="194"/>
        <v>0</v>
      </c>
      <c r="L928" s="49">
        <f t="shared" si="192"/>
        <v>8840</v>
      </c>
      <c r="M928" s="62">
        <f t="shared" si="194"/>
        <v>-2000</v>
      </c>
      <c r="N928" s="49">
        <f t="shared" si="190"/>
        <v>6840</v>
      </c>
    </row>
    <row r="929" spans="1:14" x14ac:dyDescent="0.2">
      <c r="A929" s="50" t="str">
        <f ca="1">IF(ISERROR(MATCH(E929,Код_КВР,0)),"",INDIRECT(ADDRESS(MATCH(E929,Код_КВР,0)+1,2,,,"КВР")))</f>
        <v>Бюджетные инвестиции</v>
      </c>
      <c r="B929" s="61" t="s">
        <v>364</v>
      </c>
      <c r="C929" s="65" t="s">
        <v>60</v>
      </c>
      <c r="D929" s="46" t="s">
        <v>71</v>
      </c>
      <c r="E929" s="26">
        <v>410</v>
      </c>
      <c r="F929" s="62">
        <f>'прил. 8'!G1239</f>
        <v>8840</v>
      </c>
      <c r="G929" s="62">
        <f>'прил. 8'!H1239</f>
        <v>0</v>
      </c>
      <c r="H929" s="49">
        <f t="shared" si="186"/>
        <v>8840</v>
      </c>
      <c r="I929" s="62">
        <f>'прил. 8'!J1239</f>
        <v>0</v>
      </c>
      <c r="J929" s="49">
        <f t="shared" si="179"/>
        <v>8840</v>
      </c>
      <c r="K929" s="62">
        <f>'прил. 8'!L1239</f>
        <v>0</v>
      </c>
      <c r="L929" s="49">
        <f t="shared" si="192"/>
        <v>8840</v>
      </c>
      <c r="M929" s="62">
        <f>'прил. 8'!N1239</f>
        <v>-2000</v>
      </c>
      <c r="N929" s="49">
        <f t="shared" si="190"/>
        <v>6840</v>
      </c>
    </row>
    <row r="930" spans="1:14" hidden="1" x14ac:dyDescent="0.2">
      <c r="A930" s="50" t="str">
        <f ca="1">IF(ISERROR(MATCH(C930,Код_Раздел,0)),"",INDIRECT(ADDRESS(MATCH(C930,Код_Раздел,0)+1,2,,,"Раздел")))</f>
        <v>Культура, кинематография</v>
      </c>
      <c r="B930" s="61" t="s">
        <v>364</v>
      </c>
      <c r="C930" s="65" t="s">
        <v>79</v>
      </c>
      <c r="D930" s="46"/>
      <c r="E930" s="26"/>
      <c r="F930" s="62">
        <f>F931+F934</f>
        <v>0</v>
      </c>
      <c r="G930" s="62">
        <f>G931+G934</f>
        <v>0</v>
      </c>
      <c r="H930" s="49">
        <f t="shared" si="186"/>
        <v>0</v>
      </c>
      <c r="I930" s="62">
        <f>I931+I934</f>
        <v>0</v>
      </c>
      <c r="J930" s="49">
        <f t="shared" si="179"/>
        <v>0</v>
      </c>
      <c r="K930" s="62">
        <f>K931+K934</f>
        <v>0</v>
      </c>
      <c r="L930" s="49">
        <f t="shared" si="192"/>
        <v>0</v>
      </c>
      <c r="M930" s="62">
        <f>M931+M934</f>
        <v>0</v>
      </c>
      <c r="N930" s="49">
        <f t="shared" si="190"/>
        <v>0</v>
      </c>
    </row>
    <row r="931" spans="1:14" hidden="1" x14ac:dyDescent="0.2">
      <c r="A931" s="45" t="s">
        <v>49</v>
      </c>
      <c r="B931" s="61" t="s">
        <v>364</v>
      </c>
      <c r="C931" s="65" t="s">
        <v>79</v>
      </c>
      <c r="D931" s="46" t="s">
        <v>70</v>
      </c>
      <c r="E931" s="26"/>
      <c r="F931" s="62">
        <f>F932</f>
        <v>0</v>
      </c>
      <c r="G931" s="62">
        <f>G932</f>
        <v>0</v>
      </c>
      <c r="H931" s="49">
        <f t="shared" si="186"/>
        <v>0</v>
      </c>
      <c r="I931" s="62">
        <f>I932</f>
        <v>0</v>
      </c>
      <c r="J931" s="49">
        <f t="shared" si="179"/>
        <v>0</v>
      </c>
      <c r="K931" s="62">
        <f>K932</f>
        <v>0</v>
      </c>
      <c r="L931" s="49">
        <f t="shared" si="192"/>
        <v>0</v>
      </c>
      <c r="M931" s="62">
        <f>M932</f>
        <v>0</v>
      </c>
      <c r="N931" s="49">
        <f t="shared" si="190"/>
        <v>0</v>
      </c>
    </row>
    <row r="932" spans="1:14" ht="33" hidden="1" x14ac:dyDescent="0.2">
      <c r="A932" s="50" t="str">
        <f ca="1">IF(ISERROR(MATCH(E932,Код_КВР,0)),"",INDIRECT(ADDRESS(MATCH(E932,Код_КВР,0)+1,2,,,"КВР")))</f>
        <v>Капитальные вложения в объекты государственной (муниципальной) собственности</v>
      </c>
      <c r="B932" s="61" t="s">
        <v>364</v>
      </c>
      <c r="C932" s="65" t="s">
        <v>79</v>
      </c>
      <c r="D932" s="46" t="s">
        <v>70</v>
      </c>
      <c r="E932" s="26">
        <v>400</v>
      </c>
      <c r="F932" s="62">
        <f>F933</f>
        <v>0</v>
      </c>
      <c r="G932" s="62">
        <f>G933</f>
        <v>0</v>
      </c>
      <c r="H932" s="49">
        <f t="shared" si="186"/>
        <v>0</v>
      </c>
      <c r="I932" s="62">
        <f>I933</f>
        <v>0</v>
      </c>
      <c r="J932" s="49">
        <f t="shared" ref="J932:J1010" si="195">H932+I932</f>
        <v>0</v>
      </c>
      <c r="K932" s="62">
        <f>K933</f>
        <v>0</v>
      </c>
      <c r="L932" s="49">
        <f t="shared" si="192"/>
        <v>0</v>
      </c>
      <c r="M932" s="62">
        <f>M933</f>
        <v>0</v>
      </c>
      <c r="N932" s="49">
        <f t="shared" si="190"/>
        <v>0</v>
      </c>
    </row>
    <row r="933" spans="1:14" hidden="1" x14ac:dyDescent="0.2">
      <c r="A933" s="50" t="str">
        <f ca="1">IF(ISERROR(MATCH(E933,Код_КВР,0)),"",INDIRECT(ADDRESS(MATCH(E933,Код_КВР,0)+1,2,,,"КВР")))</f>
        <v>Бюджетные инвестиции</v>
      </c>
      <c r="B933" s="61" t="s">
        <v>364</v>
      </c>
      <c r="C933" s="65" t="s">
        <v>79</v>
      </c>
      <c r="D933" s="46" t="s">
        <v>70</v>
      </c>
      <c r="E933" s="26">
        <v>410</v>
      </c>
      <c r="F933" s="62">
        <f>'прил. 8'!G1278</f>
        <v>0</v>
      </c>
      <c r="G933" s="62">
        <f>'прил. 8'!H1278</f>
        <v>0</v>
      </c>
      <c r="H933" s="49">
        <f t="shared" si="186"/>
        <v>0</v>
      </c>
      <c r="I933" s="62">
        <f>'прил. 8'!J1278</f>
        <v>0</v>
      </c>
      <c r="J933" s="49">
        <f t="shared" si="195"/>
        <v>0</v>
      </c>
      <c r="K933" s="62">
        <f>'прил. 8'!L1278</f>
        <v>0</v>
      </c>
      <c r="L933" s="49">
        <f t="shared" si="192"/>
        <v>0</v>
      </c>
      <c r="M933" s="62">
        <f>'прил. 8'!N1278</f>
        <v>0</v>
      </c>
      <c r="N933" s="49">
        <f t="shared" si="190"/>
        <v>0</v>
      </c>
    </row>
    <row r="934" spans="1:14" hidden="1" x14ac:dyDescent="0.2">
      <c r="A934" s="45" t="s">
        <v>34</v>
      </c>
      <c r="B934" s="61" t="s">
        <v>364</v>
      </c>
      <c r="C934" s="65" t="s">
        <v>79</v>
      </c>
      <c r="D934" s="46" t="s">
        <v>73</v>
      </c>
      <c r="E934" s="26"/>
      <c r="F934" s="62">
        <f t="shared" ref="F934:M935" si="196">F935</f>
        <v>0</v>
      </c>
      <c r="G934" s="62">
        <f t="shared" si="196"/>
        <v>0</v>
      </c>
      <c r="H934" s="49">
        <f t="shared" si="186"/>
        <v>0</v>
      </c>
      <c r="I934" s="62">
        <f t="shared" si="196"/>
        <v>0</v>
      </c>
      <c r="J934" s="49">
        <f t="shared" si="195"/>
        <v>0</v>
      </c>
      <c r="K934" s="62">
        <f t="shared" si="196"/>
        <v>0</v>
      </c>
      <c r="L934" s="49">
        <f t="shared" si="192"/>
        <v>0</v>
      </c>
      <c r="M934" s="62">
        <f t="shared" si="196"/>
        <v>0</v>
      </c>
      <c r="N934" s="49">
        <f t="shared" si="190"/>
        <v>0</v>
      </c>
    </row>
    <row r="935" spans="1:14" ht="33" hidden="1" x14ac:dyDescent="0.2">
      <c r="A935" s="50" t="str">
        <f ca="1">IF(ISERROR(MATCH(E935,Код_КВР,0)),"",INDIRECT(ADDRESS(MATCH(E935,Код_КВР,0)+1,2,,,"КВР")))</f>
        <v>Капитальные вложения в объекты государственной (муниципальной) собственности</v>
      </c>
      <c r="B935" s="61" t="s">
        <v>364</v>
      </c>
      <c r="C935" s="65" t="s">
        <v>79</v>
      </c>
      <c r="D935" s="46" t="s">
        <v>73</v>
      </c>
      <c r="E935" s="26">
        <v>400</v>
      </c>
      <c r="F935" s="62">
        <f t="shared" si="196"/>
        <v>0</v>
      </c>
      <c r="G935" s="62">
        <f t="shared" si="196"/>
        <v>0</v>
      </c>
      <c r="H935" s="49">
        <f t="shared" si="186"/>
        <v>0</v>
      </c>
      <c r="I935" s="62">
        <f t="shared" si="196"/>
        <v>0</v>
      </c>
      <c r="J935" s="49">
        <f t="shared" si="195"/>
        <v>0</v>
      </c>
      <c r="K935" s="62">
        <f t="shared" si="196"/>
        <v>0</v>
      </c>
      <c r="L935" s="49">
        <f t="shared" si="192"/>
        <v>0</v>
      </c>
      <c r="M935" s="62">
        <f t="shared" si="196"/>
        <v>0</v>
      </c>
      <c r="N935" s="49">
        <f t="shared" si="190"/>
        <v>0</v>
      </c>
    </row>
    <row r="936" spans="1:14" hidden="1" x14ac:dyDescent="0.2">
      <c r="A936" s="50" t="str">
        <f ca="1">IF(ISERROR(MATCH(E936,Код_КВР,0)),"",INDIRECT(ADDRESS(MATCH(E936,Код_КВР,0)+1,2,,,"КВР")))</f>
        <v>Бюджетные инвестиции</v>
      </c>
      <c r="B936" s="61" t="s">
        <v>364</v>
      </c>
      <c r="C936" s="65" t="s">
        <v>79</v>
      </c>
      <c r="D936" s="46" t="s">
        <v>73</v>
      </c>
      <c r="E936" s="26">
        <v>410</v>
      </c>
      <c r="F936" s="62">
        <f>'прил. 8'!G1288</f>
        <v>0</v>
      </c>
      <c r="G936" s="62">
        <f>'прил. 8'!H1288</f>
        <v>0</v>
      </c>
      <c r="H936" s="49">
        <f t="shared" si="186"/>
        <v>0</v>
      </c>
      <c r="I936" s="62">
        <f>'прил. 8'!J1288</f>
        <v>0</v>
      </c>
      <c r="J936" s="49">
        <f t="shared" si="195"/>
        <v>0</v>
      </c>
      <c r="K936" s="62">
        <f>'прил. 8'!L1288</f>
        <v>0</v>
      </c>
      <c r="L936" s="49">
        <f t="shared" si="192"/>
        <v>0</v>
      </c>
      <c r="M936" s="62">
        <f>'прил. 8'!N1288</f>
        <v>0</v>
      </c>
      <c r="N936" s="49">
        <f t="shared" si="190"/>
        <v>0</v>
      </c>
    </row>
    <row r="937" spans="1:14" ht="56.25" customHeight="1" x14ac:dyDescent="0.2">
      <c r="A937" s="50" t="str">
        <f ca="1">IF(ISERROR(MATCH(B937,Код_КЦСР,0)),"",INDIRECT(ADDRESS(MATCH(B937,Код_КЦСР,0)+1,2,,,"КЦСР")))</f>
        <v>Осуществление бюджетных инвестиций в объекты капитального строительства, в рамках софинансирования с областным Дорожным фондом</v>
      </c>
      <c r="B937" s="61" t="s">
        <v>425</v>
      </c>
      <c r="C937" s="65"/>
      <c r="D937" s="46"/>
      <c r="E937" s="26"/>
      <c r="F937" s="62">
        <f>F938</f>
        <v>150</v>
      </c>
      <c r="G937" s="62">
        <f>G938</f>
        <v>0</v>
      </c>
      <c r="H937" s="49">
        <f t="shared" si="186"/>
        <v>150</v>
      </c>
      <c r="I937" s="62">
        <f>I938</f>
        <v>0</v>
      </c>
      <c r="J937" s="49">
        <f t="shared" si="195"/>
        <v>150</v>
      </c>
      <c r="K937" s="62">
        <f>K938</f>
        <v>0</v>
      </c>
      <c r="L937" s="49">
        <f t="shared" si="192"/>
        <v>150</v>
      </c>
      <c r="M937" s="62">
        <f>M938</f>
        <v>0</v>
      </c>
      <c r="N937" s="49">
        <f t="shared" si="190"/>
        <v>150</v>
      </c>
    </row>
    <row r="938" spans="1:14" x14ac:dyDescent="0.2">
      <c r="A938" s="50" t="str">
        <f ca="1">IF(ISERROR(MATCH(C938,Код_Раздел,0)),"",INDIRECT(ADDRESS(MATCH(C938,Код_Раздел,0)+1,2,,,"Раздел")))</f>
        <v>Национальная экономика</v>
      </c>
      <c r="B938" s="61" t="s">
        <v>425</v>
      </c>
      <c r="C938" s="65" t="s">
        <v>73</v>
      </c>
      <c r="D938" s="46"/>
      <c r="E938" s="26"/>
      <c r="F938" s="62">
        <f t="shared" ref="F938:M940" si="197">F939</f>
        <v>150</v>
      </c>
      <c r="G938" s="62">
        <f t="shared" si="197"/>
        <v>0</v>
      </c>
      <c r="H938" s="49">
        <f t="shared" si="186"/>
        <v>150</v>
      </c>
      <c r="I938" s="62">
        <f t="shared" si="197"/>
        <v>0</v>
      </c>
      <c r="J938" s="49">
        <f t="shared" si="195"/>
        <v>150</v>
      </c>
      <c r="K938" s="62">
        <f t="shared" si="197"/>
        <v>0</v>
      </c>
      <c r="L938" s="49">
        <f t="shared" si="192"/>
        <v>150</v>
      </c>
      <c r="M938" s="62">
        <f t="shared" si="197"/>
        <v>0</v>
      </c>
      <c r="N938" s="49">
        <f t="shared" si="190"/>
        <v>150</v>
      </c>
    </row>
    <row r="939" spans="1:14" x14ac:dyDescent="0.2">
      <c r="A939" s="50" t="s">
        <v>45</v>
      </c>
      <c r="B939" s="61" t="s">
        <v>425</v>
      </c>
      <c r="C939" s="65" t="s">
        <v>73</v>
      </c>
      <c r="D939" s="46" t="s">
        <v>76</v>
      </c>
      <c r="E939" s="26"/>
      <c r="F939" s="62">
        <f>F940</f>
        <v>150</v>
      </c>
      <c r="G939" s="62">
        <f>G940</f>
        <v>0</v>
      </c>
      <c r="H939" s="49">
        <f t="shared" si="186"/>
        <v>150</v>
      </c>
      <c r="I939" s="62">
        <f>I940</f>
        <v>0</v>
      </c>
      <c r="J939" s="49">
        <f t="shared" si="195"/>
        <v>150</v>
      </c>
      <c r="K939" s="62">
        <f>K940</f>
        <v>0</v>
      </c>
      <c r="L939" s="49">
        <f t="shared" si="192"/>
        <v>150</v>
      </c>
      <c r="M939" s="62">
        <f>M940</f>
        <v>0</v>
      </c>
      <c r="N939" s="49">
        <f t="shared" si="190"/>
        <v>150</v>
      </c>
    </row>
    <row r="940" spans="1:14" ht="33" x14ac:dyDescent="0.2">
      <c r="A940" s="50" t="str">
        <f ca="1">IF(ISERROR(MATCH(E940,Код_КВР,0)),"",INDIRECT(ADDRESS(MATCH(E940,Код_КВР,0)+1,2,,,"КВР")))</f>
        <v>Капитальные вложения в объекты государственной (муниципальной) собственности</v>
      </c>
      <c r="B940" s="61" t="s">
        <v>425</v>
      </c>
      <c r="C940" s="65" t="s">
        <v>73</v>
      </c>
      <c r="D940" s="46" t="s">
        <v>76</v>
      </c>
      <c r="E940" s="26">
        <v>400</v>
      </c>
      <c r="F940" s="62">
        <f t="shared" si="197"/>
        <v>150</v>
      </c>
      <c r="G940" s="62">
        <f t="shared" si="197"/>
        <v>0</v>
      </c>
      <c r="H940" s="49">
        <f t="shared" si="186"/>
        <v>150</v>
      </c>
      <c r="I940" s="62">
        <f t="shared" si="197"/>
        <v>0</v>
      </c>
      <c r="J940" s="49">
        <f t="shared" si="195"/>
        <v>150</v>
      </c>
      <c r="K940" s="62">
        <f t="shared" si="197"/>
        <v>0</v>
      </c>
      <c r="L940" s="49">
        <f t="shared" si="192"/>
        <v>150</v>
      </c>
      <c r="M940" s="62">
        <f t="shared" si="197"/>
        <v>0</v>
      </c>
      <c r="N940" s="49">
        <f t="shared" si="190"/>
        <v>150</v>
      </c>
    </row>
    <row r="941" spans="1:14" x14ac:dyDescent="0.2">
      <c r="A941" s="50" t="str">
        <f ca="1">IF(ISERROR(MATCH(E941,Код_КВР,0)),"",INDIRECT(ADDRESS(MATCH(E941,Код_КВР,0)+1,2,,,"КВР")))</f>
        <v>Бюджетные инвестиции</v>
      </c>
      <c r="B941" s="61" t="s">
        <v>425</v>
      </c>
      <c r="C941" s="65" t="s">
        <v>73</v>
      </c>
      <c r="D941" s="46" t="s">
        <v>76</v>
      </c>
      <c r="E941" s="26">
        <v>410</v>
      </c>
      <c r="F941" s="62">
        <f>'прил. 8'!G1136</f>
        <v>150</v>
      </c>
      <c r="G941" s="62">
        <f>'прил. 8'!H1136</f>
        <v>0</v>
      </c>
      <c r="H941" s="49">
        <f t="shared" si="186"/>
        <v>150</v>
      </c>
      <c r="I941" s="62">
        <f>'прил. 8'!J1136</f>
        <v>0</v>
      </c>
      <c r="J941" s="49">
        <f t="shared" si="195"/>
        <v>150</v>
      </c>
      <c r="K941" s="62">
        <f>'прил. 8'!L1136</f>
        <v>0</v>
      </c>
      <c r="L941" s="49">
        <f t="shared" si="192"/>
        <v>150</v>
      </c>
      <c r="M941" s="62">
        <f>'прил. 8'!N1136</f>
        <v>0</v>
      </c>
      <c r="N941" s="49">
        <f t="shared" si="190"/>
        <v>150</v>
      </c>
    </row>
    <row r="942" spans="1:14" ht="40.5" customHeight="1" x14ac:dyDescent="0.2">
      <c r="A942" s="50" t="str">
        <f ca="1">IF(ISERROR(MATCH(B942,Код_КЦСР,0)),"",INDIRECT(ADDRESS(MATCH(B942,Код_КЦСР,0)+1,2,,,"КЦСР")))</f>
        <v>Улица Маяковского (от пр. Победы до ул. Сталеваров), в рамках софинансирования с областным Дорожным фондом</v>
      </c>
      <c r="B942" s="61" t="s">
        <v>611</v>
      </c>
      <c r="C942" s="65"/>
      <c r="D942" s="46"/>
      <c r="E942" s="26"/>
      <c r="F942" s="62">
        <f>F943</f>
        <v>150</v>
      </c>
      <c r="G942" s="62">
        <f>G943</f>
        <v>0</v>
      </c>
      <c r="H942" s="49">
        <f t="shared" si="186"/>
        <v>150</v>
      </c>
      <c r="I942" s="62">
        <f>I943</f>
        <v>0</v>
      </c>
      <c r="J942" s="49">
        <f t="shared" si="195"/>
        <v>150</v>
      </c>
      <c r="K942" s="62">
        <f>K943</f>
        <v>0</v>
      </c>
      <c r="L942" s="49">
        <f t="shared" si="192"/>
        <v>150</v>
      </c>
      <c r="M942" s="62">
        <f>M943</f>
        <v>0</v>
      </c>
      <c r="N942" s="49">
        <f t="shared" si="190"/>
        <v>150</v>
      </c>
    </row>
    <row r="943" spans="1:14" x14ac:dyDescent="0.2">
      <c r="A943" s="50" t="str">
        <f ca="1">IF(ISERROR(MATCH(C943,Код_Раздел,0)),"",INDIRECT(ADDRESS(MATCH(C943,Код_Раздел,0)+1,2,,,"Раздел")))</f>
        <v>Национальная экономика</v>
      </c>
      <c r="B943" s="61" t="s">
        <v>611</v>
      </c>
      <c r="C943" s="65" t="s">
        <v>73</v>
      </c>
      <c r="D943" s="46"/>
      <c r="E943" s="26"/>
      <c r="F943" s="62">
        <f t="shared" ref="F943:M945" si="198">F944</f>
        <v>150</v>
      </c>
      <c r="G943" s="62">
        <f t="shared" si="198"/>
        <v>0</v>
      </c>
      <c r="H943" s="49">
        <f t="shared" si="186"/>
        <v>150</v>
      </c>
      <c r="I943" s="62">
        <f t="shared" si="198"/>
        <v>0</v>
      </c>
      <c r="J943" s="49">
        <f t="shared" si="195"/>
        <v>150</v>
      </c>
      <c r="K943" s="62">
        <f t="shared" si="198"/>
        <v>0</v>
      </c>
      <c r="L943" s="49">
        <f t="shared" si="192"/>
        <v>150</v>
      </c>
      <c r="M943" s="62">
        <f t="shared" si="198"/>
        <v>0</v>
      </c>
      <c r="N943" s="49">
        <f t="shared" si="190"/>
        <v>150</v>
      </c>
    </row>
    <row r="944" spans="1:14" x14ac:dyDescent="0.2">
      <c r="A944" s="50" t="s">
        <v>45</v>
      </c>
      <c r="B944" s="61" t="s">
        <v>611</v>
      </c>
      <c r="C944" s="65" t="s">
        <v>73</v>
      </c>
      <c r="D944" s="46" t="s">
        <v>76</v>
      </c>
      <c r="E944" s="26"/>
      <c r="F944" s="62">
        <f>F945</f>
        <v>150</v>
      </c>
      <c r="G944" s="62">
        <f>G945</f>
        <v>0</v>
      </c>
      <c r="H944" s="49">
        <f t="shared" si="186"/>
        <v>150</v>
      </c>
      <c r="I944" s="62">
        <f>I945</f>
        <v>0</v>
      </c>
      <c r="J944" s="49">
        <f t="shared" si="195"/>
        <v>150</v>
      </c>
      <c r="K944" s="62">
        <f>K945</f>
        <v>0</v>
      </c>
      <c r="L944" s="49">
        <f t="shared" si="192"/>
        <v>150</v>
      </c>
      <c r="M944" s="62">
        <f>M945</f>
        <v>0</v>
      </c>
      <c r="N944" s="49">
        <f t="shared" si="190"/>
        <v>150</v>
      </c>
    </row>
    <row r="945" spans="1:14" ht="33" x14ac:dyDescent="0.2">
      <c r="A945" s="50" t="str">
        <f ca="1">IF(ISERROR(MATCH(E945,Код_КВР,0)),"",INDIRECT(ADDRESS(MATCH(E945,Код_КВР,0)+1,2,,,"КВР")))</f>
        <v>Капитальные вложения в объекты государственной (муниципальной) собственности</v>
      </c>
      <c r="B945" s="61" t="s">
        <v>611</v>
      </c>
      <c r="C945" s="65" t="s">
        <v>73</v>
      </c>
      <c r="D945" s="46" t="s">
        <v>76</v>
      </c>
      <c r="E945" s="26">
        <v>400</v>
      </c>
      <c r="F945" s="62">
        <f t="shared" si="198"/>
        <v>150</v>
      </c>
      <c r="G945" s="62">
        <f t="shared" si="198"/>
        <v>0</v>
      </c>
      <c r="H945" s="49">
        <f t="shared" si="186"/>
        <v>150</v>
      </c>
      <c r="I945" s="62">
        <f t="shared" si="198"/>
        <v>0</v>
      </c>
      <c r="J945" s="49">
        <f t="shared" si="195"/>
        <v>150</v>
      </c>
      <c r="K945" s="62">
        <f t="shared" si="198"/>
        <v>0</v>
      </c>
      <c r="L945" s="49">
        <f t="shared" si="192"/>
        <v>150</v>
      </c>
      <c r="M945" s="62">
        <f t="shared" si="198"/>
        <v>0</v>
      </c>
      <c r="N945" s="49">
        <f t="shared" si="190"/>
        <v>150</v>
      </c>
    </row>
    <row r="946" spans="1:14" x14ac:dyDescent="0.2">
      <c r="A946" s="50" t="str">
        <f ca="1">IF(ISERROR(MATCH(E946,Код_КВР,0)),"",INDIRECT(ADDRESS(MATCH(E946,Код_КВР,0)+1,2,,,"КВР")))</f>
        <v>Бюджетные инвестиции</v>
      </c>
      <c r="B946" s="61" t="s">
        <v>611</v>
      </c>
      <c r="C946" s="65" t="s">
        <v>73</v>
      </c>
      <c r="D946" s="46" t="s">
        <v>76</v>
      </c>
      <c r="E946" s="26">
        <v>410</v>
      </c>
      <c r="F946" s="62">
        <f>'прил. 8'!G1139</f>
        <v>150</v>
      </c>
      <c r="G946" s="62">
        <f>'прил. 8'!H1139</f>
        <v>0</v>
      </c>
      <c r="H946" s="49">
        <f t="shared" si="186"/>
        <v>150</v>
      </c>
      <c r="I946" s="62">
        <f>'прил. 8'!J1139</f>
        <v>0</v>
      </c>
      <c r="J946" s="49">
        <f t="shared" si="195"/>
        <v>150</v>
      </c>
      <c r="K946" s="62">
        <f>'прил. 8'!L1139</f>
        <v>0</v>
      </c>
      <c r="L946" s="49">
        <f t="shared" si="192"/>
        <v>150</v>
      </c>
      <c r="M946" s="62">
        <f>'прил. 8'!N1139</f>
        <v>0</v>
      </c>
      <c r="N946" s="49">
        <f t="shared" si="190"/>
        <v>150</v>
      </c>
    </row>
    <row r="947" spans="1:14" ht="27.75" customHeight="1" x14ac:dyDescent="0.2">
      <c r="A947" s="50" t="str">
        <f ca="1">IF(ISERROR(MATCH(B947,Код_КЦСР,0)),"",INDIRECT(ADDRESS(MATCH(B947,Код_КЦСР,0)+1,2,,,"КЦСР")))</f>
        <v>Реконструкция зданий под детские сады, в рамках софинансирования</v>
      </c>
      <c r="B947" s="61" t="s">
        <v>479</v>
      </c>
      <c r="C947" s="65"/>
      <c r="D947" s="46"/>
      <c r="E947" s="26"/>
      <c r="F947" s="62">
        <f t="shared" ref="F947:M950" si="199">F948</f>
        <v>46267.5</v>
      </c>
      <c r="G947" s="62">
        <f t="shared" si="199"/>
        <v>0</v>
      </c>
      <c r="H947" s="49">
        <f t="shared" si="186"/>
        <v>46267.5</v>
      </c>
      <c r="I947" s="62">
        <f t="shared" si="199"/>
        <v>0</v>
      </c>
      <c r="J947" s="49">
        <f t="shared" si="195"/>
        <v>46267.5</v>
      </c>
      <c r="K947" s="62">
        <f t="shared" si="199"/>
        <v>9322.1</v>
      </c>
      <c r="L947" s="49">
        <f t="shared" si="192"/>
        <v>55589.599999999999</v>
      </c>
      <c r="M947" s="62">
        <f t="shared" si="199"/>
        <v>0</v>
      </c>
      <c r="N947" s="49">
        <f t="shared" si="190"/>
        <v>55589.599999999999</v>
      </c>
    </row>
    <row r="948" spans="1:14" x14ac:dyDescent="0.2">
      <c r="A948" s="50" t="str">
        <f ca="1">IF(ISERROR(MATCH(C948,Код_Раздел,0)),"",INDIRECT(ADDRESS(MATCH(C948,Код_Раздел,0)+1,2,,,"Раздел")))</f>
        <v>Образование</v>
      </c>
      <c r="B948" s="61" t="s">
        <v>479</v>
      </c>
      <c r="C948" s="65" t="s">
        <v>60</v>
      </c>
      <c r="D948" s="46"/>
      <c r="E948" s="26"/>
      <c r="F948" s="62">
        <f t="shared" si="199"/>
        <v>46267.5</v>
      </c>
      <c r="G948" s="62">
        <f t="shared" si="199"/>
        <v>0</v>
      </c>
      <c r="H948" s="49">
        <f t="shared" si="186"/>
        <v>46267.5</v>
      </c>
      <c r="I948" s="62">
        <f t="shared" si="199"/>
        <v>0</v>
      </c>
      <c r="J948" s="49">
        <f t="shared" si="195"/>
        <v>46267.5</v>
      </c>
      <c r="K948" s="62">
        <f t="shared" si="199"/>
        <v>9322.1</v>
      </c>
      <c r="L948" s="49">
        <f t="shared" si="192"/>
        <v>55589.599999999999</v>
      </c>
      <c r="M948" s="62">
        <f t="shared" si="199"/>
        <v>0</v>
      </c>
      <c r="N948" s="49">
        <f t="shared" si="190"/>
        <v>55589.599999999999</v>
      </c>
    </row>
    <row r="949" spans="1:14" x14ac:dyDescent="0.2">
      <c r="A949" s="51" t="s">
        <v>109</v>
      </c>
      <c r="B949" s="61" t="s">
        <v>479</v>
      </c>
      <c r="C949" s="65" t="s">
        <v>60</v>
      </c>
      <c r="D949" s="65" t="s">
        <v>70</v>
      </c>
      <c r="E949" s="26"/>
      <c r="F949" s="62">
        <f t="shared" si="199"/>
        <v>46267.5</v>
      </c>
      <c r="G949" s="62">
        <f t="shared" si="199"/>
        <v>0</v>
      </c>
      <c r="H949" s="49">
        <f t="shared" si="186"/>
        <v>46267.5</v>
      </c>
      <c r="I949" s="62">
        <f t="shared" si="199"/>
        <v>0</v>
      </c>
      <c r="J949" s="49">
        <f t="shared" si="195"/>
        <v>46267.5</v>
      </c>
      <c r="K949" s="62">
        <f t="shared" si="199"/>
        <v>9322.1</v>
      </c>
      <c r="L949" s="49">
        <f t="shared" si="192"/>
        <v>55589.599999999999</v>
      </c>
      <c r="M949" s="62">
        <f t="shared" si="199"/>
        <v>0</v>
      </c>
      <c r="N949" s="49">
        <f t="shared" si="190"/>
        <v>55589.599999999999</v>
      </c>
    </row>
    <row r="950" spans="1:14" ht="33" x14ac:dyDescent="0.2">
      <c r="A950" s="50" t="str">
        <f ca="1">IF(ISERROR(MATCH(E950,Код_КВР,0)),"",INDIRECT(ADDRESS(MATCH(E950,Код_КВР,0)+1,2,,,"КВР")))</f>
        <v>Капитальные вложения в объекты государственной (муниципальной) собственности</v>
      </c>
      <c r="B950" s="61" t="s">
        <v>479</v>
      </c>
      <c r="C950" s="65" t="s">
        <v>60</v>
      </c>
      <c r="D950" s="65" t="s">
        <v>70</v>
      </c>
      <c r="E950" s="26">
        <v>400</v>
      </c>
      <c r="F950" s="62">
        <f t="shared" si="199"/>
        <v>46267.5</v>
      </c>
      <c r="G950" s="62">
        <f t="shared" si="199"/>
        <v>0</v>
      </c>
      <c r="H950" s="49">
        <f t="shared" si="186"/>
        <v>46267.5</v>
      </c>
      <c r="I950" s="62">
        <f t="shared" si="199"/>
        <v>0</v>
      </c>
      <c r="J950" s="49">
        <f t="shared" si="195"/>
        <v>46267.5</v>
      </c>
      <c r="K950" s="62">
        <f t="shared" si="199"/>
        <v>9322.1</v>
      </c>
      <c r="L950" s="49">
        <f t="shared" si="192"/>
        <v>55589.599999999999</v>
      </c>
      <c r="M950" s="62">
        <f t="shared" si="199"/>
        <v>0</v>
      </c>
      <c r="N950" s="49">
        <f t="shared" si="190"/>
        <v>55589.599999999999</v>
      </c>
    </row>
    <row r="951" spans="1:14" x14ac:dyDescent="0.2">
      <c r="A951" s="50" t="str">
        <f ca="1">IF(ISERROR(MATCH(E951,Код_КВР,0)),"",INDIRECT(ADDRESS(MATCH(E951,Код_КВР,0)+1,2,,,"КВР")))</f>
        <v>Бюджетные инвестиции</v>
      </c>
      <c r="B951" s="61" t="s">
        <v>479</v>
      </c>
      <c r="C951" s="65" t="s">
        <v>60</v>
      </c>
      <c r="D951" s="65" t="s">
        <v>70</v>
      </c>
      <c r="E951" s="26">
        <v>410</v>
      </c>
      <c r="F951" s="62">
        <f>'прил. 8'!G1230</f>
        <v>46267.5</v>
      </c>
      <c r="G951" s="62">
        <f>'прил. 8'!H1230</f>
        <v>0</v>
      </c>
      <c r="H951" s="49">
        <f t="shared" si="186"/>
        <v>46267.5</v>
      </c>
      <c r="I951" s="62">
        <f>'прил. 8'!J1230</f>
        <v>0</v>
      </c>
      <c r="J951" s="49">
        <f t="shared" si="195"/>
        <v>46267.5</v>
      </c>
      <c r="K951" s="62">
        <f>'прил. 8'!L1230</f>
        <v>9322.1</v>
      </c>
      <c r="L951" s="49">
        <f t="shared" si="192"/>
        <v>55589.599999999999</v>
      </c>
      <c r="M951" s="62">
        <f>'прил. 8'!N1230</f>
        <v>0</v>
      </c>
      <c r="N951" s="49">
        <f t="shared" si="190"/>
        <v>55589.599999999999</v>
      </c>
    </row>
    <row r="952" spans="1:14" ht="43.5" customHeight="1" x14ac:dyDescent="0.2">
      <c r="A952" s="50" t="str">
        <f ca="1">IF(ISERROR(MATCH(B952,Код_КЦСР,0)),"",INDIRECT(ADDRESS(MATCH(B952,Код_КЦСР,0)+1,2,,,"КЦСР")))</f>
        <v>Строительство средней общеобразовательной школы № 24 в 112 мкр., в рамках софинансирования</v>
      </c>
      <c r="B952" s="61" t="s">
        <v>647</v>
      </c>
      <c r="C952" s="65"/>
      <c r="D952" s="46"/>
      <c r="E952" s="26"/>
      <c r="F952" s="62">
        <f>F953</f>
        <v>226461.1</v>
      </c>
      <c r="G952" s="62">
        <f>G953</f>
        <v>0</v>
      </c>
      <c r="H952" s="49">
        <f t="shared" si="186"/>
        <v>226461.1</v>
      </c>
      <c r="I952" s="62">
        <f>I953</f>
        <v>-41142.9</v>
      </c>
      <c r="J952" s="49">
        <f t="shared" si="195"/>
        <v>185318.2</v>
      </c>
      <c r="K952" s="62">
        <f>K953</f>
        <v>0</v>
      </c>
      <c r="L952" s="49">
        <f t="shared" si="192"/>
        <v>185318.2</v>
      </c>
      <c r="M952" s="62">
        <f>M953</f>
        <v>-25804.9</v>
      </c>
      <c r="N952" s="49">
        <f t="shared" si="190"/>
        <v>159513.30000000002</v>
      </c>
    </row>
    <row r="953" spans="1:14" x14ac:dyDescent="0.2">
      <c r="A953" s="50" t="str">
        <f ca="1">IF(ISERROR(MATCH(C953,Код_Раздел,0)),"",INDIRECT(ADDRESS(MATCH(C953,Код_Раздел,0)+1,2,,,"Раздел")))</f>
        <v>Образование</v>
      </c>
      <c r="B953" s="61" t="s">
        <v>647</v>
      </c>
      <c r="C953" s="65" t="s">
        <v>60</v>
      </c>
      <c r="D953" s="46"/>
      <c r="E953" s="26"/>
      <c r="F953" s="62">
        <f t="shared" ref="F953:M955" si="200">F954</f>
        <v>226461.1</v>
      </c>
      <c r="G953" s="62">
        <f t="shared" si="200"/>
        <v>0</v>
      </c>
      <c r="H953" s="49">
        <f t="shared" si="186"/>
        <v>226461.1</v>
      </c>
      <c r="I953" s="62">
        <f t="shared" si="200"/>
        <v>-41142.9</v>
      </c>
      <c r="J953" s="49">
        <f t="shared" si="195"/>
        <v>185318.2</v>
      </c>
      <c r="K953" s="62">
        <f t="shared" si="200"/>
        <v>0</v>
      </c>
      <c r="L953" s="49">
        <f t="shared" si="192"/>
        <v>185318.2</v>
      </c>
      <c r="M953" s="62">
        <f t="shared" si="200"/>
        <v>-25804.9</v>
      </c>
      <c r="N953" s="49">
        <f t="shared" si="190"/>
        <v>159513.30000000002</v>
      </c>
    </row>
    <row r="954" spans="1:14" x14ac:dyDescent="0.2">
      <c r="A954" s="45" t="s">
        <v>102</v>
      </c>
      <c r="B954" s="61" t="s">
        <v>647</v>
      </c>
      <c r="C954" s="65" t="s">
        <v>60</v>
      </c>
      <c r="D954" s="46" t="s">
        <v>71</v>
      </c>
      <c r="E954" s="26"/>
      <c r="F954" s="62">
        <f t="shared" si="200"/>
        <v>226461.1</v>
      </c>
      <c r="G954" s="62">
        <f t="shared" si="200"/>
        <v>0</v>
      </c>
      <c r="H954" s="49">
        <f t="shared" si="186"/>
        <v>226461.1</v>
      </c>
      <c r="I954" s="62">
        <f t="shared" si="200"/>
        <v>-41142.9</v>
      </c>
      <c r="J954" s="49">
        <f t="shared" si="195"/>
        <v>185318.2</v>
      </c>
      <c r="K954" s="62">
        <f t="shared" si="200"/>
        <v>0</v>
      </c>
      <c r="L954" s="49">
        <f t="shared" si="192"/>
        <v>185318.2</v>
      </c>
      <c r="M954" s="62">
        <f t="shared" si="200"/>
        <v>-25804.9</v>
      </c>
      <c r="N954" s="49">
        <f t="shared" si="190"/>
        <v>159513.30000000002</v>
      </c>
    </row>
    <row r="955" spans="1:14" ht="33" x14ac:dyDescent="0.2">
      <c r="A955" s="50" t="str">
        <f ca="1">IF(ISERROR(MATCH(E955,Код_КВР,0)),"",INDIRECT(ADDRESS(MATCH(E955,Код_КВР,0)+1,2,,,"КВР")))</f>
        <v>Капитальные вложения в объекты государственной (муниципальной) собственности</v>
      </c>
      <c r="B955" s="61" t="s">
        <v>647</v>
      </c>
      <c r="C955" s="65" t="s">
        <v>60</v>
      </c>
      <c r="D955" s="46" t="s">
        <v>71</v>
      </c>
      <c r="E955" s="26">
        <v>400</v>
      </c>
      <c r="F955" s="62">
        <f t="shared" si="200"/>
        <v>226461.1</v>
      </c>
      <c r="G955" s="62">
        <f t="shared" si="200"/>
        <v>0</v>
      </c>
      <c r="H955" s="49">
        <f t="shared" si="186"/>
        <v>226461.1</v>
      </c>
      <c r="I955" s="62">
        <f t="shared" si="200"/>
        <v>-41142.9</v>
      </c>
      <c r="J955" s="49">
        <f t="shared" si="195"/>
        <v>185318.2</v>
      </c>
      <c r="K955" s="62">
        <f t="shared" si="200"/>
        <v>0</v>
      </c>
      <c r="L955" s="49">
        <f t="shared" si="192"/>
        <v>185318.2</v>
      </c>
      <c r="M955" s="62">
        <f t="shared" si="200"/>
        <v>-25804.9</v>
      </c>
      <c r="N955" s="49">
        <f t="shared" si="190"/>
        <v>159513.30000000002</v>
      </c>
    </row>
    <row r="956" spans="1:14" x14ac:dyDescent="0.2">
      <c r="A956" s="50" t="str">
        <f ca="1">IF(ISERROR(MATCH(E956,Код_КВР,0)),"",INDIRECT(ADDRESS(MATCH(E956,Код_КВР,0)+1,2,,,"КВР")))</f>
        <v>Бюджетные инвестиции</v>
      </c>
      <c r="B956" s="61" t="s">
        <v>647</v>
      </c>
      <c r="C956" s="65" t="s">
        <v>60</v>
      </c>
      <c r="D956" s="46" t="s">
        <v>71</v>
      </c>
      <c r="E956" s="26">
        <v>410</v>
      </c>
      <c r="F956" s="62">
        <f>'прил. 8'!G1242</f>
        <v>226461.1</v>
      </c>
      <c r="G956" s="62">
        <f>'прил. 8'!H1242</f>
        <v>0</v>
      </c>
      <c r="H956" s="49">
        <f t="shared" si="186"/>
        <v>226461.1</v>
      </c>
      <c r="I956" s="62">
        <f>'прил. 8'!J1242</f>
        <v>-41142.9</v>
      </c>
      <c r="J956" s="49">
        <f t="shared" si="195"/>
        <v>185318.2</v>
      </c>
      <c r="K956" s="62">
        <f>'прил. 8'!L1242</f>
        <v>0</v>
      </c>
      <c r="L956" s="49">
        <f t="shared" si="192"/>
        <v>185318.2</v>
      </c>
      <c r="M956" s="62">
        <f>'прил. 8'!N1242</f>
        <v>-25804.9</v>
      </c>
      <c r="N956" s="49">
        <f t="shared" si="190"/>
        <v>159513.30000000002</v>
      </c>
    </row>
    <row r="957" spans="1:14" ht="33" x14ac:dyDescent="0.2">
      <c r="A957" s="50" t="str">
        <f ca="1">IF(ISERROR(MATCH(B957,Код_КЦСР,0)),"",INDIRECT(ADDRESS(MATCH(B957,Код_КЦСР,0)+1,2,,,"КЦСР")))</f>
        <v>Туристско-рекреационный кластер «Центральная городская набережная», в рамках софинансирования</v>
      </c>
      <c r="B957" s="61" t="s">
        <v>689</v>
      </c>
      <c r="C957" s="65"/>
      <c r="D957" s="46"/>
      <c r="E957" s="26"/>
      <c r="F957" s="62"/>
      <c r="G957" s="62"/>
      <c r="H957" s="49"/>
      <c r="I957" s="62"/>
      <c r="J957" s="49"/>
      <c r="K957" s="62">
        <f>K958</f>
        <v>1679.6</v>
      </c>
      <c r="L957" s="49">
        <f t="shared" si="192"/>
        <v>1679.6</v>
      </c>
      <c r="M957" s="62">
        <f>M958</f>
        <v>20</v>
      </c>
      <c r="N957" s="49">
        <f t="shared" si="190"/>
        <v>1699.6</v>
      </c>
    </row>
    <row r="958" spans="1:14" x14ac:dyDescent="0.2">
      <c r="A958" s="50" t="str">
        <f ca="1">IF(ISERROR(MATCH(C958,Код_Раздел,0)),"",INDIRECT(ADDRESS(MATCH(C958,Код_Раздел,0)+1,2,,,"Раздел")))</f>
        <v>Национальная экономика</v>
      </c>
      <c r="B958" s="61" t="s">
        <v>689</v>
      </c>
      <c r="C958" s="65" t="s">
        <v>73</v>
      </c>
      <c r="D958" s="46"/>
      <c r="E958" s="26"/>
      <c r="F958" s="62"/>
      <c r="G958" s="62"/>
      <c r="H958" s="49"/>
      <c r="I958" s="62"/>
      <c r="J958" s="49"/>
      <c r="K958" s="62">
        <f>K959</f>
        <v>1679.6</v>
      </c>
      <c r="L958" s="49">
        <f t="shared" si="192"/>
        <v>1679.6</v>
      </c>
      <c r="M958" s="62">
        <f>M959</f>
        <v>20</v>
      </c>
      <c r="N958" s="49">
        <f t="shared" si="190"/>
        <v>1699.6</v>
      </c>
    </row>
    <row r="959" spans="1:14" x14ac:dyDescent="0.2">
      <c r="A959" s="74" t="s">
        <v>80</v>
      </c>
      <c r="B959" s="61" t="s">
        <v>689</v>
      </c>
      <c r="C959" s="65" t="s">
        <v>73</v>
      </c>
      <c r="D959" s="46" t="s">
        <v>61</v>
      </c>
      <c r="E959" s="26"/>
      <c r="F959" s="62"/>
      <c r="G959" s="62"/>
      <c r="H959" s="49"/>
      <c r="I959" s="62"/>
      <c r="J959" s="49"/>
      <c r="K959" s="62">
        <f>K960</f>
        <v>1679.6</v>
      </c>
      <c r="L959" s="49">
        <f t="shared" si="192"/>
        <v>1679.6</v>
      </c>
      <c r="M959" s="62">
        <f>M960</f>
        <v>20</v>
      </c>
      <c r="N959" s="49">
        <f t="shared" si="190"/>
        <v>1699.6</v>
      </c>
    </row>
    <row r="960" spans="1:14" ht="33" x14ac:dyDescent="0.2">
      <c r="A960" s="50" t="str">
        <f ca="1">IF(ISERROR(MATCH(E960,Код_КВР,0)),"",INDIRECT(ADDRESS(MATCH(E960,Код_КВР,0)+1,2,,,"КВР")))</f>
        <v>Капитальные вложения в объекты государственной (муниципальной) собственности</v>
      </c>
      <c r="B960" s="61" t="s">
        <v>689</v>
      </c>
      <c r="C960" s="65" t="s">
        <v>73</v>
      </c>
      <c r="D960" s="46" t="s">
        <v>61</v>
      </c>
      <c r="E960" s="26">
        <v>400</v>
      </c>
      <c r="F960" s="62"/>
      <c r="G960" s="62"/>
      <c r="H960" s="49"/>
      <c r="I960" s="62"/>
      <c r="J960" s="49"/>
      <c r="K960" s="62">
        <f>K961</f>
        <v>1679.6</v>
      </c>
      <c r="L960" s="49">
        <f t="shared" si="192"/>
        <v>1679.6</v>
      </c>
      <c r="M960" s="62">
        <f>M961</f>
        <v>20</v>
      </c>
      <c r="N960" s="49">
        <f t="shared" si="190"/>
        <v>1699.6</v>
      </c>
    </row>
    <row r="961" spans="1:14" x14ac:dyDescent="0.2">
      <c r="A961" s="50" t="str">
        <f ca="1">IF(ISERROR(MATCH(E961,Код_КВР,0)),"",INDIRECT(ADDRESS(MATCH(E961,Код_КВР,0)+1,2,,,"КВР")))</f>
        <v>Бюджетные инвестиции</v>
      </c>
      <c r="B961" s="61" t="s">
        <v>689</v>
      </c>
      <c r="C961" s="65" t="s">
        <v>73</v>
      </c>
      <c r="D961" s="46" t="s">
        <v>61</v>
      </c>
      <c r="E961" s="26">
        <v>410</v>
      </c>
      <c r="F961" s="62"/>
      <c r="G961" s="62"/>
      <c r="H961" s="49"/>
      <c r="I961" s="62"/>
      <c r="J961" s="49"/>
      <c r="K961" s="62">
        <f>'прил. 8'!L1172</f>
        <v>1679.6</v>
      </c>
      <c r="L961" s="49">
        <f t="shared" si="192"/>
        <v>1679.6</v>
      </c>
      <c r="M961" s="62">
        <f>'прил. 8'!N1172</f>
        <v>20</v>
      </c>
      <c r="N961" s="49">
        <f t="shared" si="190"/>
        <v>1699.6</v>
      </c>
    </row>
    <row r="962" spans="1:14" ht="66" x14ac:dyDescent="0.2">
      <c r="A962" s="50" t="str">
        <f ca="1">IF(ISERROR(MATCH(B962,Код_КЦСР,0)),"",INDIRECT(ADDRESS(MATCH(B962,Код_КЦСР,0)+1,2,,,"КЦСР")))</f>
        <v>Реализация мероприятий по строительству (реконструкции) объектов обеспечивающей инфраструктуры с длительным сроком окупаемости, находящихся в муниципальной собственности, за счет средств вышестоящих бюджетов</v>
      </c>
      <c r="B962" s="61" t="s">
        <v>620</v>
      </c>
      <c r="C962" s="65"/>
      <c r="D962" s="46"/>
      <c r="E962" s="26"/>
      <c r="F962" s="62">
        <f t="shared" ref="F962:M965" si="201">F963</f>
        <v>148181.9</v>
      </c>
      <c r="G962" s="62">
        <f t="shared" si="201"/>
        <v>0</v>
      </c>
      <c r="H962" s="49">
        <f t="shared" si="186"/>
        <v>148181.9</v>
      </c>
      <c r="I962" s="62">
        <f t="shared" si="201"/>
        <v>0</v>
      </c>
      <c r="J962" s="49">
        <f t="shared" si="195"/>
        <v>148181.9</v>
      </c>
      <c r="K962" s="62">
        <f t="shared" si="201"/>
        <v>0</v>
      </c>
      <c r="L962" s="49">
        <f t="shared" si="192"/>
        <v>148181.9</v>
      </c>
      <c r="M962" s="62">
        <f t="shared" si="201"/>
        <v>0</v>
      </c>
      <c r="N962" s="49">
        <f t="shared" si="190"/>
        <v>148181.9</v>
      </c>
    </row>
    <row r="963" spans="1:14" x14ac:dyDescent="0.2">
      <c r="A963" s="50" t="str">
        <f ca="1">IF(ISERROR(MATCH(C963,Код_Раздел,0)),"",INDIRECT(ADDRESS(MATCH(C963,Код_Раздел,0)+1,2,,,"Раздел")))</f>
        <v>Национальная экономика</v>
      </c>
      <c r="B963" s="61" t="s">
        <v>620</v>
      </c>
      <c r="C963" s="65" t="s">
        <v>73</v>
      </c>
      <c r="D963" s="46"/>
      <c r="E963" s="26"/>
      <c r="F963" s="62">
        <f t="shared" si="201"/>
        <v>148181.9</v>
      </c>
      <c r="G963" s="62">
        <f t="shared" si="201"/>
        <v>0</v>
      </c>
      <c r="H963" s="49">
        <f t="shared" si="186"/>
        <v>148181.9</v>
      </c>
      <c r="I963" s="62">
        <f t="shared" si="201"/>
        <v>0</v>
      </c>
      <c r="J963" s="49">
        <f t="shared" si="195"/>
        <v>148181.9</v>
      </c>
      <c r="K963" s="62">
        <f t="shared" si="201"/>
        <v>0</v>
      </c>
      <c r="L963" s="49">
        <f t="shared" si="192"/>
        <v>148181.9</v>
      </c>
      <c r="M963" s="62">
        <f t="shared" si="201"/>
        <v>0</v>
      </c>
      <c r="N963" s="49">
        <f t="shared" si="190"/>
        <v>148181.9</v>
      </c>
    </row>
    <row r="964" spans="1:14" ht="24" customHeight="1" x14ac:dyDescent="0.2">
      <c r="A964" s="74" t="s">
        <v>80</v>
      </c>
      <c r="B964" s="61" t="s">
        <v>620</v>
      </c>
      <c r="C964" s="65" t="s">
        <v>73</v>
      </c>
      <c r="D964" s="46" t="s">
        <v>61</v>
      </c>
      <c r="E964" s="26"/>
      <c r="F964" s="62">
        <f t="shared" si="201"/>
        <v>148181.9</v>
      </c>
      <c r="G964" s="62">
        <f t="shared" si="201"/>
        <v>0</v>
      </c>
      <c r="H964" s="49">
        <f t="shared" si="186"/>
        <v>148181.9</v>
      </c>
      <c r="I964" s="62">
        <f t="shared" si="201"/>
        <v>0</v>
      </c>
      <c r="J964" s="49">
        <f t="shared" si="195"/>
        <v>148181.9</v>
      </c>
      <c r="K964" s="62">
        <f t="shared" si="201"/>
        <v>0</v>
      </c>
      <c r="L964" s="49">
        <f t="shared" si="192"/>
        <v>148181.9</v>
      </c>
      <c r="M964" s="62">
        <f t="shared" si="201"/>
        <v>0</v>
      </c>
      <c r="N964" s="49">
        <f t="shared" si="190"/>
        <v>148181.9</v>
      </c>
    </row>
    <row r="965" spans="1:14" ht="33" x14ac:dyDescent="0.2">
      <c r="A965" s="50" t="str">
        <f ca="1">IF(ISERROR(MATCH(E965,Код_КВР,0)),"",INDIRECT(ADDRESS(MATCH(E965,Код_КВР,0)+1,2,,,"КВР")))</f>
        <v>Капитальные вложения в объекты государственной (муниципальной) собственности</v>
      </c>
      <c r="B965" s="61" t="s">
        <v>620</v>
      </c>
      <c r="C965" s="65" t="s">
        <v>73</v>
      </c>
      <c r="D965" s="46" t="s">
        <v>61</v>
      </c>
      <c r="E965" s="26">
        <v>400</v>
      </c>
      <c r="F965" s="62">
        <f t="shared" si="201"/>
        <v>148181.9</v>
      </c>
      <c r="G965" s="62">
        <f t="shared" si="201"/>
        <v>0</v>
      </c>
      <c r="H965" s="49">
        <f t="shared" si="186"/>
        <v>148181.9</v>
      </c>
      <c r="I965" s="62">
        <f t="shared" si="201"/>
        <v>0</v>
      </c>
      <c r="J965" s="49">
        <f t="shared" si="195"/>
        <v>148181.9</v>
      </c>
      <c r="K965" s="62">
        <f t="shared" si="201"/>
        <v>0</v>
      </c>
      <c r="L965" s="49">
        <f t="shared" si="192"/>
        <v>148181.9</v>
      </c>
      <c r="M965" s="62">
        <f t="shared" si="201"/>
        <v>0</v>
      </c>
      <c r="N965" s="49">
        <f t="shared" si="190"/>
        <v>148181.9</v>
      </c>
    </row>
    <row r="966" spans="1:14" x14ac:dyDescent="0.2">
      <c r="A966" s="50" t="str">
        <f ca="1">IF(ISERROR(MATCH(E966,Код_КВР,0)),"",INDIRECT(ADDRESS(MATCH(E966,Код_КВР,0)+1,2,,,"КВР")))</f>
        <v>Бюджетные инвестиции</v>
      </c>
      <c r="B966" s="61" t="s">
        <v>620</v>
      </c>
      <c r="C966" s="65" t="s">
        <v>73</v>
      </c>
      <c r="D966" s="46" t="s">
        <v>61</v>
      </c>
      <c r="E966" s="26">
        <v>410</v>
      </c>
      <c r="F966" s="62">
        <f>'прил. 8'!G1175</f>
        <v>148181.9</v>
      </c>
      <c r="G966" s="62">
        <f>'прил. 8'!H1175</f>
        <v>0</v>
      </c>
      <c r="H966" s="49">
        <f t="shared" ref="H966:H1052" si="202">F966+G966</f>
        <v>148181.9</v>
      </c>
      <c r="I966" s="62">
        <f>'прил. 8'!J1175</f>
        <v>0</v>
      </c>
      <c r="J966" s="49">
        <f t="shared" si="195"/>
        <v>148181.9</v>
      </c>
      <c r="K966" s="62">
        <f>'прил. 8'!L1175</f>
        <v>0</v>
      </c>
      <c r="L966" s="49">
        <f t="shared" si="192"/>
        <v>148181.9</v>
      </c>
      <c r="M966" s="62">
        <f>'прил. 8'!N1175</f>
        <v>0</v>
      </c>
      <c r="N966" s="49">
        <f t="shared" si="190"/>
        <v>148181.9</v>
      </c>
    </row>
    <row r="967" spans="1:14" ht="49.5" x14ac:dyDescent="0.2">
      <c r="A967" s="50" t="str">
        <f ca="1">IF(ISERROR(MATCH(B967,Код_КЦСР,0)),"",INDIRECT(ADDRESS(MATCH(B967,Код_КЦСР,0)+1,2,,,"КЦСР")))</f>
        <v>Реализация мероприятий по строительству зданий, пристроя к зданиям общеобразовательных организаций, за счет средств вышестоящих бюджетов</v>
      </c>
      <c r="B967" s="61" t="s">
        <v>621</v>
      </c>
      <c r="C967" s="65"/>
      <c r="D967" s="46"/>
      <c r="E967" s="26"/>
      <c r="F967" s="62">
        <f t="shared" ref="F967:M970" si="203">F968</f>
        <v>845783.5</v>
      </c>
      <c r="G967" s="62">
        <f t="shared" si="203"/>
        <v>0</v>
      </c>
      <c r="H967" s="49">
        <f t="shared" si="202"/>
        <v>845783.5</v>
      </c>
      <c r="I967" s="62">
        <f t="shared" si="203"/>
        <v>-40052.200000000004</v>
      </c>
      <c r="J967" s="49">
        <f t="shared" si="195"/>
        <v>805731.3</v>
      </c>
      <c r="K967" s="62">
        <f t="shared" si="203"/>
        <v>0</v>
      </c>
      <c r="L967" s="49">
        <f t="shared" si="192"/>
        <v>805731.3</v>
      </c>
      <c r="M967" s="62">
        <f t="shared" si="203"/>
        <v>-112195.1</v>
      </c>
      <c r="N967" s="49">
        <f t="shared" si="190"/>
        <v>693536.20000000007</v>
      </c>
    </row>
    <row r="968" spans="1:14" x14ac:dyDescent="0.2">
      <c r="A968" s="50" t="str">
        <f ca="1">IF(ISERROR(MATCH(C968,Код_Раздел,0)),"",INDIRECT(ADDRESS(MATCH(C968,Код_Раздел,0)+1,2,,,"Раздел")))</f>
        <v>Образование</v>
      </c>
      <c r="B968" s="61" t="s">
        <v>621</v>
      </c>
      <c r="C968" s="65" t="s">
        <v>60</v>
      </c>
      <c r="D968" s="46"/>
      <c r="E968" s="26"/>
      <c r="F968" s="62">
        <f t="shared" si="203"/>
        <v>845783.5</v>
      </c>
      <c r="G968" s="62">
        <f t="shared" si="203"/>
        <v>0</v>
      </c>
      <c r="H968" s="49">
        <f t="shared" si="202"/>
        <v>845783.5</v>
      </c>
      <c r="I968" s="62">
        <f t="shared" si="203"/>
        <v>-40052.200000000004</v>
      </c>
      <c r="J968" s="49">
        <f t="shared" si="195"/>
        <v>805731.3</v>
      </c>
      <c r="K968" s="62">
        <f t="shared" si="203"/>
        <v>0</v>
      </c>
      <c r="L968" s="49">
        <f t="shared" si="192"/>
        <v>805731.3</v>
      </c>
      <c r="M968" s="62">
        <f t="shared" si="203"/>
        <v>-112195.1</v>
      </c>
      <c r="N968" s="49">
        <f t="shared" si="190"/>
        <v>693536.20000000007</v>
      </c>
    </row>
    <row r="969" spans="1:14" x14ac:dyDescent="0.2">
      <c r="A969" s="45" t="s">
        <v>102</v>
      </c>
      <c r="B969" s="61" t="s">
        <v>621</v>
      </c>
      <c r="C969" s="65" t="s">
        <v>60</v>
      </c>
      <c r="D969" s="46" t="s">
        <v>71</v>
      </c>
      <c r="E969" s="26"/>
      <c r="F969" s="62">
        <f t="shared" si="203"/>
        <v>845783.5</v>
      </c>
      <c r="G969" s="62">
        <f t="shared" si="203"/>
        <v>0</v>
      </c>
      <c r="H969" s="49">
        <f t="shared" si="202"/>
        <v>845783.5</v>
      </c>
      <c r="I969" s="62">
        <f t="shared" si="203"/>
        <v>-40052.200000000004</v>
      </c>
      <c r="J969" s="49">
        <f t="shared" si="195"/>
        <v>805731.3</v>
      </c>
      <c r="K969" s="62">
        <f t="shared" si="203"/>
        <v>0</v>
      </c>
      <c r="L969" s="49">
        <f t="shared" si="192"/>
        <v>805731.3</v>
      </c>
      <c r="M969" s="62">
        <f t="shared" si="203"/>
        <v>-112195.1</v>
      </c>
      <c r="N969" s="49">
        <f t="shared" si="190"/>
        <v>693536.20000000007</v>
      </c>
    </row>
    <row r="970" spans="1:14" ht="33" x14ac:dyDescent="0.2">
      <c r="A970" s="50" t="str">
        <f ca="1">IF(ISERROR(MATCH(E970,Код_КВР,0)),"",INDIRECT(ADDRESS(MATCH(E970,Код_КВР,0)+1,2,,,"КВР")))</f>
        <v>Капитальные вложения в объекты государственной (муниципальной) собственности</v>
      </c>
      <c r="B970" s="61" t="s">
        <v>621</v>
      </c>
      <c r="C970" s="65" t="s">
        <v>60</v>
      </c>
      <c r="D970" s="46" t="s">
        <v>71</v>
      </c>
      <c r="E970" s="26">
        <v>400</v>
      </c>
      <c r="F970" s="62">
        <f t="shared" si="203"/>
        <v>845783.5</v>
      </c>
      <c r="G970" s="62">
        <f t="shared" si="203"/>
        <v>0</v>
      </c>
      <c r="H970" s="49">
        <f t="shared" si="202"/>
        <v>845783.5</v>
      </c>
      <c r="I970" s="62">
        <f t="shared" si="203"/>
        <v>-40052.200000000004</v>
      </c>
      <c r="J970" s="49">
        <f t="shared" si="195"/>
        <v>805731.3</v>
      </c>
      <c r="K970" s="62">
        <f t="shared" si="203"/>
        <v>0</v>
      </c>
      <c r="L970" s="49">
        <f t="shared" si="192"/>
        <v>805731.3</v>
      </c>
      <c r="M970" s="62">
        <f t="shared" si="203"/>
        <v>-112195.1</v>
      </c>
      <c r="N970" s="49">
        <f t="shared" si="190"/>
        <v>693536.20000000007</v>
      </c>
    </row>
    <row r="971" spans="1:14" x14ac:dyDescent="0.2">
      <c r="A971" s="50" t="str">
        <f ca="1">IF(ISERROR(MATCH(E971,Код_КВР,0)),"",INDIRECT(ADDRESS(MATCH(E971,Код_КВР,0)+1,2,,,"КВР")))</f>
        <v>Бюджетные инвестиции</v>
      </c>
      <c r="B971" s="61" t="s">
        <v>621</v>
      </c>
      <c r="C971" s="65" t="s">
        <v>60</v>
      </c>
      <c r="D971" s="46" t="s">
        <v>71</v>
      </c>
      <c r="E971" s="26">
        <v>410</v>
      </c>
      <c r="F971" s="62">
        <f>'прил. 8'!G1245</f>
        <v>845783.5</v>
      </c>
      <c r="G971" s="62">
        <f>'прил. 8'!H1245</f>
        <v>0</v>
      </c>
      <c r="H971" s="49">
        <f t="shared" si="202"/>
        <v>845783.5</v>
      </c>
      <c r="I971" s="62">
        <f>'прил. 8'!J1245</f>
        <v>-40052.200000000004</v>
      </c>
      <c r="J971" s="49">
        <f t="shared" si="195"/>
        <v>805731.3</v>
      </c>
      <c r="K971" s="62">
        <f>'прил. 8'!L1245</f>
        <v>0</v>
      </c>
      <c r="L971" s="49">
        <f t="shared" si="192"/>
        <v>805731.3</v>
      </c>
      <c r="M971" s="62">
        <f>'прил. 8'!N1245</f>
        <v>-112195.1</v>
      </c>
      <c r="N971" s="49">
        <f t="shared" si="190"/>
        <v>693536.20000000007</v>
      </c>
    </row>
    <row r="972" spans="1:14" ht="49.5" x14ac:dyDescent="0.2">
      <c r="A972" s="50" t="str">
        <f ca="1">IF(ISERROR(MATCH(B972,Код_КЦСР,0)),"",INDIRECT(ADDRESS(MATCH(B972,Код_КЦСР,0)+1,2,,,"КЦСР")))</f>
        <v>Осуществление дорожной деятельности в отношении автомобильных дорог общего пользования местного значения, за счет средств областного бюджета</v>
      </c>
      <c r="B972" s="61" t="s">
        <v>365</v>
      </c>
      <c r="C972" s="65"/>
      <c r="D972" s="46"/>
      <c r="E972" s="26"/>
      <c r="F972" s="62">
        <f t="shared" ref="F972:M980" si="204">F973</f>
        <v>0</v>
      </c>
      <c r="G972" s="62">
        <f t="shared" si="204"/>
        <v>0</v>
      </c>
      <c r="H972" s="49">
        <f t="shared" si="202"/>
        <v>0</v>
      </c>
      <c r="I972" s="62">
        <f t="shared" si="204"/>
        <v>0</v>
      </c>
      <c r="J972" s="49">
        <f t="shared" si="195"/>
        <v>0</v>
      </c>
      <c r="K972" s="62">
        <f t="shared" si="204"/>
        <v>31129.200000000001</v>
      </c>
      <c r="L972" s="49">
        <f t="shared" si="192"/>
        <v>31129.200000000001</v>
      </c>
      <c r="M972" s="62">
        <f t="shared" si="204"/>
        <v>0</v>
      </c>
      <c r="N972" s="49">
        <f t="shared" si="190"/>
        <v>31129.200000000001</v>
      </c>
    </row>
    <row r="973" spans="1:14" x14ac:dyDescent="0.2">
      <c r="A973" s="50" t="str">
        <f ca="1">IF(ISERROR(MATCH(C973,Код_Раздел,0)),"",INDIRECT(ADDRESS(MATCH(C973,Код_Раздел,0)+1,2,,,"Раздел")))</f>
        <v>Национальная экономика</v>
      </c>
      <c r="B973" s="61" t="s">
        <v>365</v>
      </c>
      <c r="C973" s="65" t="s">
        <v>73</v>
      </c>
      <c r="D973" s="46"/>
      <c r="E973" s="26"/>
      <c r="F973" s="62">
        <f t="shared" si="204"/>
        <v>0</v>
      </c>
      <c r="G973" s="62">
        <f t="shared" si="204"/>
        <v>0</v>
      </c>
      <c r="H973" s="49">
        <f t="shared" si="202"/>
        <v>0</v>
      </c>
      <c r="I973" s="62">
        <f t="shared" si="204"/>
        <v>0</v>
      </c>
      <c r="J973" s="49">
        <f t="shared" si="195"/>
        <v>0</v>
      </c>
      <c r="K973" s="62">
        <f t="shared" si="204"/>
        <v>31129.200000000001</v>
      </c>
      <c r="L973" s="49">
        <f t="shared" si="192"/>
        <v>31129.200000000001</v>
      </c>
      <c r="M973" s="62">
        <f t="shared" si="204"/>
        <v>0</v>
      </c>
      <c r="N973" s="49">
        <f t="shared" si="190"/>
        <v>31129.200000000001</v>
      </c>
    </row>
    <row r="974" spans="1:14" x14ac:dyDescent="0.2">
      <c r="A974" s="45" t="s">
        <v>45</v>
      </c>
      <c r="B974" s="61" t="s">
        <v>365</v>
      </c>
      <c r="C974" s="65" t="s">
        <v>73</v>
      </c>
      <c r="D974" s="46" t="s">
        <v>76</v>
      </c>
      <c r="E974" s="26"/>
      <c r="F974" s="62">
        <f>F975</f>
        <v>0</v>
      </c>
      <c r="G974" s="62">
        <f>G975</f>
        <v>0</v>
      </c>
      <c r="H974" s="49">
        <f t="shared" si="202"/>
        <v>0</v>
      </c>
      <c r="I974" s="62">
        <f>I975</f>
        <v>0</v>
      </c>
      <c r="J974" s="49">
        <f t="shared" si="195"/>
        <v>0</v>
      </c>
      <c r="K974" s="62">
        <f>K975</f>
        <v>31129.200000000001</v>
      </c>
      <c r="L974" s="49">
        <f t="shared" si="192"/>
        <v>31129.200000000001</v>
      </c>
      <c r="M974" s="62">
        <f>M975</f>
        <v>0</v>
      </c>
      <c r="N974" s="49">
        <f t="shared" si="190"/>
        <v>31129.200000000001</v>
      </c>
    </row>
    <row r="975" spans="1:14" ht="33" x14ac:dyDescent="0.2">
      <c r="A975" s="50" t="str">
        <f ca="1">IF(ISERROR(MATCH(E975,Код_КВР,0)),"",INDIRECT(ADDRESS(MATCH(E975,Код_КВР,0)+1,2,,,"КВР")))</f>
        <v>Капитальные вложения в объекты государственной (муниципальной) собственности</v>
      </c>
      <c r="B975" s="61" t="s">
        <v>365</v>
      </c>
      <c r="C975" s="65" t="s">
        <v>73</v>
      </c>
      <c r="D975" s="46" t="s">
        <v>76</v>
      </c>
      <c r="E975" s="26">
        <v>400</v>
      </c>
      <c r="F975" s="62">
        <f t="shared" si="204"/>
        <v>0</v>
      </c>
      <c r="G975" s="62">
        <f t="shared" si="204"/>
        <v>0</v>
      </c>
      <c r="H975" s="49">
        <f t="shared" si="202"/>
        <v>0</v>
      </c>
      <c r="I975" s="62">
        <f t="shared" si="204"/>
        <v>0</v>
      </c>
      <c r="J975" s="49">
        <f t="shared" si="195"/>
        <v>0</v>
      </c>
      <c r="K975" s="62">
        <f t="shared" si="204"/>
        <v>31129.200000000001</v>
      </c>
      <c r="L975" s="49">
        <f t="shared" si="192"/>
        <v>31129.200000000001</v>
      </c>
      <c r="M975" s="62">
        <f t="shared" si="204"/>
        <v>0</v>
      </c>
      <c r="N975" s="49">
        <f t="shared" si="190"/>
        <v>31129.200000000001</v>
      </c>
    </row>
    <row r="976" spans="1:14" x14ac:dyDescent="0.2">
      <c r="A976" s="50" t="str">
        <f ca="1">IF(ISERROR(MATCH(E976,Код_КВР,0)),"",INDIRECT(ADDRESS(MATCH(E976,Код_КВР,0)+1,2,,,"КВР")))</f>
        <v>Бюджетные инвестиции</v>
      </c>
      <c r="B976" s="61" t="s">
        <v>365</v>
      </c>
      <c r="C976" s="65" t="s">
        <v>73</v>
      </c>
      <c r="D976" s="46" t="s">
        <v>76</v>
      </c>
      <c r="E976" s="26">
        <v>410</v>
      </c>
      <c r="F976" s="62">
        <f>'прил. 8'!G1142</f>
        <v>0</v>
      </c>
      <c r="G976" s="62">
        <f>'прил. 8'!H1142</f>
        <v>0</v>
      </c>
      <c r="H976" s="49">
        <f t="shared" si="202"/>
        <v>0</v>
      </c>
      <c r="I976" s="62">
        <f>'прил. 8'!J1142</f>
        <v>0</v>
      </c>
      <c r="J976" s="49">
        <f t="shared" si="195"/>
        <v>0</v>
      </c>
      <c r="K976" s="62">
        <f>'прил. 8'!L1142</f>
        <v>31129.200000000001</v>
      </c>
      <c r="L976" s="49">
        <f t="shared" si="192"/>
        <v>31129.200000000001</v>
      </c>
      <c r="M976" s="62">
        <f>'прил. 8'!N1142</f>
        <v>0</v>
      </c>
      <c r="N976" s="49">
        <f t="shared" si="190"/>
        <v>31129.200000000001</v>
      </c>
    </row>
    <row r="977" spans="1:14" ht="49.5" x14ac:dyDescent="0.2">
      <c r="A977" s="50" t="str">
        <f ca="1">IF(ISERROR(MATCH(B977,Код_КЦСР,0)),"",INDIRECT(ADDRESS(MATCH(B977,Код_КЦСР,0)+1,2,,,"КЦСР")))</f>
        <v>Реализация мероприятий по строительству, реконструкции объектов социальной и коммунальной инфраструктур муниципальной собственности, за счет средств областного бюджета</v>
      </c>
      <c r="B977" s="61" t="s">
        <v>480</v>
      </c>
      <c r="C977" s="65"/>
      <c r="D977" s="46"/>
      <c r="E977" s="26"/>
      <c r="F977" s="62">
        <f>F978</f>
        <v>40000</v>
      </c>
      <c r="G977" s="62">
        <f>G978</f>
        <v>0</v>
      </c>
      <c r="H977" s="49">
        <f t="shared" si="202"/>
        <v>40000</v>
      </c>
      <c r="I977" s="62">
        <f>I978</f>
        <v>0</v>
      </c>
      <c r="J977" s="49">
        <f t="shared" si="195"/>
        <v>40000</v>
      </c>
      <c r="K977" s="62">
        <f>K978</f>
        <v>0</v>
      </c>
      <c r="L977" s="49">
        <f t="shared" si="192"/>
        <v>40000</v>
      </c>
      <c r="M977" s="62">
        <f>M978</f>
        <v>0</v>
      </c>
      <c r="N977" s="49">
        <f t="shared" si="190"/>
        <v>40000</v>
      </c>
    </row>
    <row r="978" spans="1:14" x14ac:dyDescent="0.2">
      <c r="A978" s="50" t="str">
        <f ca="1">IF(ISERROR(MATCH(C978,Код_Раздел,0)),"",INDIRECT(ADDRESS(MATCH(C978,Код_Раздел,0)+1,2,,,"Раздел")))</f>
        <v>Образование</v>
      </c>
      <c r="B978" s="61" t="s">
        <v>480</v>
      </c>
      <c r="C978" s="65" t="s">
        <v>60</v>
      </c>
      <c r="D978" s="46"/>
      <c r="E978" s="26"/>
      <c r="F978" s="62">
        <f>F979</f>
        <v>40000</v>
      </c>
      <c r="G978" s="62">
        <f>G979</f>
        <v>0</v>
      </c>
      <c r="H978" s="49">
        <f t="shared" si="202"/>
        <v>40000</v>
      </c>
      <c r="I978" s="62">
        <f>I979</f>
        <v>0</v>
      </c>
      <c r="J978" s="49">
        <f t="shared" si="195"/>
        <v>40000</v>
      </c>
      <c r="K978" s="62">
        <f>K979</f>
        <v>0</v>
      </c>
      <c r="L978" s="49">
        <f t="shared" si="192"/>
        <v>40000</v>
      </c>
      <c r="M978" s="62">
        <f>M979</f>
        <v>0</v>
      </c>
      <c r="N978" s="49">
        <f t="shared" ref="N978:N1041" si="205">L978+M978</f>
        <v>40000</v>
      </c>
    </row>
    <row r="979" spans="1:14" x14ac:dyDescent="0.2">
      <c r="A979" s="45" t="s">
        <v>109</v>
      </c>
      <c r="B979" s="61" t="s">
        <v>480</v>
      </c>
      <c r="C979" s="65" t="s">
        <v>60</v>
      </c>
      <c r="D979" s="46" t="s">
        <v>70</v>
      </c>
      <c r="E979" s="26"/>
      <c r="F979" s="62">
        <f t="shared" si="204"/>
        <v>40000</v>
      </c>
      <c r="G979" s="62">
        <f t="shared" si="204"/>
        <v>0</v>
      </c>
      <c r="H979" s="49">
        <f t="shared" si="202"/>
        <v>40000</v>
      </c>
      <c r="I979" s="62">
        <f t="shared" si="204"/>
        <v>0</v>
      </c>
      <c r="J979" s="49">
        <f t="shared" si="195"/>
        <v>40000</v>
      </c>
      <c r="K979" s="62">
        <f t="shared" si="204"/>
        <v>0</v>
      </c>
      <c r="L979" s="49">
        <f t="shared" si="192"/>
        <v>40000</v>
      </c>
      <c r="M979" s="62">
        <f t="shared" si="204"/>
        <v>0</v>
      </c>
      <c r="N979" s="49">
        <f t="shared" si="205"/>
        <v>40000</v>
      </c>
    </row>
    <row r="980" spans="1:14" ht="33" x14ac:dyDescent="0.2">
      <c r="A980" s="50" t="str">
        <f ca="1">IF(ISERROR(MATCH(E980,Код_КВР,0)),"",INDIRECT(ADDRESS(MATCH(E980,Код_КВР,0)+1,2,,,"КВР")))</f>
        <v>Капитальные вложения в объекты государственной (муниципальной) собственности</v>
      </c>
      <c r="B980" s="61" t="s">
        <v>480</v>
      </c>
      <c r="C980" s="65" t="s">
        <v>60</v>
      </c>
      <c r="D980" s="46" t="s">
        <v>70</v>
      </c>
      <c r="E980" s="26">
        <v>400</v>
      </c>
      <c r="F980" s="62">
        <f t="shared" si="204"/>
        <v>40000</v>
      </c>
      <c r="G980" s="62">
        <f t="shared" si="204"/>
        <v>0</v>
      </c>
      <c r="H980" s="49">
        <f t="shared" si="202"/>
        <v>40000</v>
      </c>
      <c r="I980" s="62">
        <f t="shared" si="204"/>
        <v>0</v>
      </c>
      <c r="J980" s="49">
        <f t="shared" si="195"/>
        <v>40000</v>
      </c>
      <c r="K980" s="62">
        <f t="shared" si="204"/>
        <v>0</v>
      </c>
      <c r="L980" s="49">
        <f t="shared" ref="L980:L1063" si="206">J980+K980</f>
        <v>40000</v>
      </c>
      <c r="M980" s="62">
        <f t="shared" si="204"/>
        <v>0</v>
      </c>
      <c r="N980" s="49">
        <f t="shared" si="205"/>
        <v>40000</v>
      </c>
    </row>
    <row r="981" spans="1:14" x14ac:dyDescent="0.2">
      <c r="A981" s="50" t="str">
        <f ca="1">IF(ISERROR(MATCH(E981,Код_КВР,0)),"",INDIRECT(ADDRESS(MATCH(E981,Код_КВР,0)+1,2,,,"КВР")))</f>
        <v>Бюджетные инвестиции</v>
      </c>
      <c r="B981" s="61" t="s">
        <v>480</v>
      </c>
      <c r="C981" s="65" t="s">
        <v>60</v>
      </c>
      <c r="D981" s="46" t="s">
        <v>70</v>
      </c>
      <c r="E981" s="26">
        <v>410</v>
      </c>
      <c r="F981" s="62">
        <f>'прил. 8'!G1233</f>
        <v>40000</v>
      </c>
      <c r="G981" s="62">
        <f>'прил. 8'!H1233</f>
        <v>0</v>
      </c>
      <c r="H981" s="49">
        <f t="shared" si="202"/>
        <v>40000</v>
      </c>
      <c r="I981" s="62">
        <f>'прил. 8'!J1233</f>
        <v>0</v>
      </c>
      <c r="J981" s="49">
        <f t="shared" si="195"/>
        <v>40000</v>
      </c>
      <c r="K981" s="62">
        <f>'прил. 8'!L1233</f>
        <v>0</v>
      </c>
      <c r="L981" s="49">
        <f t="shared" si="206"/>
        <v>40000</v>
      </c>
      <c r="M981" s="62">
        <f>'прил. 8'!N1233</f>
        <v>0</v>
      </c>
      <c r="N981" s="49">
        <f t="shared" si="205"/>
        <v>40000</v>
      </c>
    </row>
    <row r="982" spans="1:14" ht="21" customHeight="1" x14ac:dyDescent="0.2">
      <c r="A982" s="50" t="str">
        <f ca="1">IF(ISERROR(MATCH(B982,Код_КЦСР,0)),"",INDIRECT(ADDRESS(MATCH(B982,Код_КЦСР,0)+1,2,,,"КЦСР")))</f>
        <v>Строительство объектов сметной стоимостью 100 млн. рублей и более</v>
      </c>
      <c r="B982" s="61" t="s">
        <v>607</v>
      </c>
      <c r="C982" s="65"/>
      <c r="D982" s="46"/>
      <c r="E982" s="26"/>
      <c r="F982" s="62">
        <f>F983+F988</f>
        <v>1036.7</v>
      </c>
      <c r="G982" s="62">
        <f>G983+G988</f>
        <v>0</v>
      </c>
      <c r="H982" s="49">
        <f t="shared" si="202"/>
        <v>1036.7</v>
      </c>
      <c r="I982" s="62">
        <f>I983+I988</f>
        <v>0</v>
      </c>
      <c r="J982" s="49">
        <f t="shared" si="195"/>
        <v>1036.7</v>
      </c>
      <c r="K982" s="62">
        <f>K983+K988</f>
        <v>0</v>
      </c>
      <c r="L982" s="49">
        <f t="shared" si="206"/>
        <v>1036.7</v>
      </c>
      <c r="M982" s="62">
        <f>M983+M988+M993+M998</f>
        <v>2235.8000000000002</v>
      </c>
      <c r="N982" s="49">
        <f t="shared" si="205"/>
        <v>3272.5</v>
      </c>
    </row>
    <row r="983" spans="1:14" ht="38.25" customHeight="1" x14ac:dyDescent="0.2">
      <c r="A983" s="50" t="str">
        <f ca="1">IF(ISERROR(MATCH(B983,Код_КЦСР,0)),"",INDIRECT(ADDRESS(MATCH(B983,Код_КЦСР,0)+1,2,,,"КЦСР")))</f>
        <v>Индустриальный парк «Череповец». Инженерная и транспортная инфраструктура территории</v>
      </c>
      <c r="B983" s="61" t="s">
        <v>610</v>
      </c>
      <c r="C983" s="65"/>
      <c r="D983" s="46"/>
      <c r="E983" s="26"/>
      <c r="F983" s="62">
        <f t="shared" ref="F983:M986" si="207">F984</f>
        <v>36.700000000000003</v>
      </c>
      <c r="G983" s="62">
        <f t="shared" si="207"/>
        <v>0</v>
      </c>
      <c r="H983" s="49">
        <f t="shared" si="202"/>
        <v>36.700000000000003</v>
      </c>
      <c r="I983" s="62">
        <f t="shared" si="207"/>
        <v>0</v>
      </c>
      <c r="J983" s="49">
        <f t="shared" si="195"/>
        <v>36.700000000000003</v>
      </c>
      <c r="K983" s="62">
        <f t="shared" si="207"/>
        <v>0</v>
      </c>
      <c r="L983" s="49">
        <f t="shared" si="206"/>
        <v>36.700000000000003</v>
      </c>
      <c r="M983" s="62">
        <f t="shared" si="207"/>
        <v>0</v>
      </c>
      <c r="N983" s="49">
        <f t="shared" si="205"/>
        <v>36.700000000000003</v>
      </c>
    </row>
    <row r="984" spans="1:14" x14ac:dyDescent="0.2">
      <c r="A984" s="50" t="str">
        <f ca="1">IF(ISERROR(MATCH(C984,Код_Раздел,0)),"",INDIRECT(ADDRESS(MATCH(C984,Код_Раздел,0)+1,2,,,"Раздел")))</f>
        <v>Национальная экономика</v>
      </c>
      <c r="B984" s="61" t="s">
        <v>610</v>
      </c>
      <c r="C984" s="65" t="s">
        <v>73</v>
      </c>
      <c r="D984" s="46"/>
      <c r="E984" s="26"/>
      <c r="F984" s="62">
        <f t="shared" si="207"/>
        <v>36.700000000000003</v>
      </c>
      <c r="G984" s="62">
        <f t="shared" si="207"/>
        <v>0</v>
      </c>
      <c r="H984" s="49">
        <f t="shared" si="202"/>
        <v>36.700000000000003</v>
      </c>
      <c r="I984" s="62">
        <f t="shared" si="207"/>
        <v>0</v>
      </c>
      <c r="J984" s="49">
        <f t="shared" si="195"/>
        <v>36.700000000000003</v>
      </c>
      <c r="K984" s="62">
        <f t="shared" si="207"/>
        <v>0</v>
      </c>
      <c r="L984" s="49">
        <f t="shared" si="206"/>
        <v>36.700000000000003</v>
      </c>
      <c r="M984" s="62">
        <f t="shared" si="207"/>
        <v>0</v>
      </c>
      <c r="N984" s="49">
        <f t="shared" si="205"/>
        <v>36.700000000000003</v>
      </c>
    </row>
    <row r="985" spans="1:14" x14ac:dyDescent="0.2">
      <c r="A985" s="50" t="s">
        <v>80</v>
      </c>
      <c r="B985" s="61" t="s">
        <v>610</v>
      </c>
      <c r="C985" s="65" t="s">
        <v>73</v>
      </c>
      <c r="D985" s="46" t="s">
        <v>61</v>
      </c>
      <c r="E985" s="26"/>
      <c r="F985" s="62">
        <f t="shared" si="207"/>
        <v>36.700000000000003</v>
      </c>
      <c r="G985" s="62">
        <f t="shared" si="207"/>
        <v>0</v>
      </c>
      <c r="H985" s="49">
        <f t="shared" si="202"/>
        <v>36.700000000000003</v>
      </c>
      <c r="I985" s="62">
        <f t="shared" si="207"/>
        <v>0</v>
      </c>
      <c r="J985" s="49">
        <f t="shared" si="195"/>
        <v>36.700000000000003</v>
      </c>
      <c r="K985" s="62">
        <f t="shared" si="207"/>
        <v>0</v>
      </c>
      <c r="L985" s="49">
        <f t="shared" si="206"/>
        <v>36.700000000000003</v>
      </c>
      <c r="M985" s="62">
        <f t="shared" si="207"/>
        <v>0</v>
      </c>
      <c r="N985" s="49">
        <f t="shared" si="205"/>
        <v>36.700000000000003</v>
      </c>
    </row>
    <row r="986" spans="1:14" ht="39" customHeight="1" x14ac:dyDescent="0.2">
      <c r="A986" s="50" t="str">
        <f ca="1">IF(ISERROR(MATCH(E986,Код_КВР,0)),"",INDIRECT(ADDRESS(MATCH(E986,Код_КВР,0)+1,2,,,"КВР")))</f>
        <v>Капитальные вложения в объекты государственной (муниципальной) собственности</v>
      </c>
      <c r="B986" s="61" t="s">
        <v>610</v>
      </c>
      <c r="C986" s="65" t="s">
        <v>73</v>
      </c>
      <c r="D986" s="46" t="s">
        <v>61</v>
      </c>
      <c r="E986" s="26">
        <v>400</v>
      </c>
      <c r="F986" s="62">
        <f t="shared" si="207"/>
        <v>36.700000000000003</v>
      </c>
      <c r="G986" s="62">
        <f t="shared" si="207"/>
        <v>0</v>
      </c>
      <c r="H986" s="49">
        <f t="shared" si="202"/>
        <v>36.700000000000003</v>
      </c>
      <c r="I986" s="62">
        <f t="shared" si="207"/>
        <v>0</v>
      </c>
      <c r="J986" s="49">
        <f t="shared" si="195"/>
        <v>36.700000000000003</v>
      </c>
      <c r="K986" s="62">
        <f t="shared" si="207"/>
        <v>0</v>
      </c>
      <c r="L986" s="49">
        <f t="shared" si="206"/>
        <v>36.700000000000003</v>
      </c>
      <c r="M986" s="62">
        <f t="shared" si="207"/>
        <v>0</v>
      </c>
      <c r="N986" s="49">
        <f t="shared" si="205"/>
        <v>36.700000000000003</v>
      </c>
    </row>
    <row r="987" spans="1:14" x14ac:dyDescent="0.2">
      <c r="A987" s="50" t="str">
        <f ca="1">IF(ISERROR(MATCH(E987,Код_КВР,0)),"",INDIRECT(ADDRESS(MATCH(E987,Код_КВР,0)+1,2,,,"КВР")))</f>
        <v>Бюджетные инвестиции</v>
      </c>
      <c r="B987" s="61" t="s">
        <v>610</v>
      </c>
      <c r="C987" s="65" t="s">
        <v>73</v>
      </c>
      <c r="D987" s="46" t="s">
        <v>61</v>
      </c>
      <c r="E987" s="26">
        <v>410</v>
      </c>
      <c r="F987" s="62">
        <f>'прил. 8'!G1179</f>
        <v>36.700000000000003</v>
      </c>
      <c r="G987" s="62">
        <f>'прил. 8'!H1179</f>
        <v>0</v>
      </c>
      <c r="H987" s="49">
        <f t="shared" si="202"/>
        <v>36.700000000000003</v>
      </c>
      <c r="I987" s="62">
        <f>'прил. 8'!J1179</f>
        <v>0</v>
      </c>
      <c r="J987" s="49">
        <f t="shared" si="195"/>
        <v>36.700000000000003</v>
      </c>
      <c r="K987" s="62">
        <f>'прил. 8'!L1179</f>
        <v>0</v>
      </c>
      <c r="L987" s="49">
        <f t="shared" si="206"/>
        <v>36.700000000000003</v>
      </c>
      <c r="M987" s="62">
        <f>'прил. 8'!N1179</f>
        <v>0</v>
      </c>
      <c r="N987" s="49">
        <f t="shared" si="205"/>
        <v>36.700000000000003</v>
      </c>
    </row>
    <row r="988" spans="1:14" ht="19.5" customHeight="1" x14ac:dyDescent="0.2">
      <c r="A988" s="50" t="str">
        <f ca="1">IF(ISERROR(MATCH(B988,Код_КЦСР,0)),"",INDIRECT(ADDRESS(MATCH(B988,Код_КЦСР,0)+1,2,,,"КЦСР")))</f>
        <v>Улица Маяковского (от пр. Победы до ул. Сталеваров)</v>
      </c>
      <c r="B988" s="61" t="s">
        <v>612</v>
      </c>
      <c r="C988" s="65"/>
      <c r="D988" s="46"/>
      <c r="E988" s="26"/>
      <c r="F988" s="62">
        <f t="shared" ref="F988:M991" si="208">F989</f>
        <v>1000</v>
      </c>
      <c r="G988" s="62">
        <f t="shared" si="208"/>
        <v>0</v>
      </c>
      <c r="H988" s="49">
        <f t="shared" si="202"/>
        <v>1000</v>
      </c>
      <c r="I988" s="62">
        <f t="shared" si="208"/>
        <v>0</v>
      </c>
      <c r="J988" s="49">
        <f t="shared" si="195"/>
        <v>1000</v>
      </c>
      <c r="K988" s="62">
        <f t="shared" si="208"/>
        <v>0</v>
      </c>
      <c r="L988" s="49">
        <f t="shared" si="206"/>
        <v>1000</v>
      </c>
      <c r="M988" s="62">
        <f t="shared" si="208"/>
        <v>0</v>
      </c>
      <c r="N988" s="49">
        <f t="shared" si="205"/>
        <v>1000</v>
      </c>
    </row>
    <row r="989" spans="1:14" ht="17.25" customHeight="1" x14ac:dyDescent="0.2">
      <c r="A989" s="50" t="str">
        <f ca="1">IF(ISERROR(MATCH(C989,Код_Раздел,0)),"",INDIRECT(ADDRESS(MATCH(C989,Код_Раздел,0)+1,2,,,"Раздел")))</f>
        <v>Национальная экономика</v>
      </c>
      <c r="B989" s="61" t="s">
        <v>612</v>
      </c>
      <c r="C989" s="65" t="s">
        <v>73</v>
      </c>
      <c r="D989" s="46"/>
      <c r="E989" s="26"/>
      <c r="F989" s="62">
        <f t="shared" si="208"/>
        <v>1000</v>
      </c>
      <c r="G989" s="62">
        <f t="shared" si="208"/>
        <v>0</v>
      </c>
      <c r="H989" s="49">
        <f t="shared" si="202"/>
        <v>1000</v>
      </c>
      <c r="I989" s="62">
        <f t="shared" si="208"/>
        <v>0</v>
      </c>
      <c r="J989" s="49">
        <f t="shared" si="195"/>
        <v>1000</v>
      </c>
      <c r="K989" s="62">
        <f t="shared" si="208"/>
        <v>0</v>
      </c>
      <c r="L989" s="49">
        <f t="shared" si="206"/>
        <v>1000</v>
      </c>
      <c r="M989" s="62">
        <f t="shared" si="208"/>
        <v>0</v>
      </c>
      <c r="N989" s="49">
        <f t="shared" si="205"/>
        <v>1000</v>
      </c>
    </row>
    <row r="990" spans="1:14" ht="19.5" customHeight="1" x14ac:dyDescent="0.2">
      <c r="A990" s="45" t="s">
        <v>45</v>
      </c>
      <c r="B990" s="61" t="s">
        <v>612</v>
      </c>
      <c r="C990" s="65" t="s">
        <v>73</v>
      </c>
      <c r="D990" s="46" t="s">
        <v>76</v>
      </c>
      <c r="E990" s="26"/>
      <c r="F990" s="62">
        <f t="shared" si="208"/>
        <v>1000</v>
      </c>
      <c r="G990" s="62">
        <f t="shared" si="208"/>
        <v>0</v>
      </c>
      <c r="H990" s="49">
        <f t="shared" si="202"/>
        <v>1000</v>
      </c>
      <c r="I990" s="62">
        <f t="shared" si="208"/>
        <v>0</v>
      </c>
      <c r="J990" s="49">
        <f t="shared" si="195"/>
        <v>1000</v>
      </c>
      <c r="K990" s="62">
        <f t="shared" si="208"/>
        <v>0</v>
      </c>
      <c r="L990" s="49">
        <f t="shared" si="206"/>
        <v>1000</v>
      </c>
      <c r="M990" s="62">
        <f t="shared" si="208"/>
        <v>0</v>
      </c>
      <c r="N990" s="49">
        <f t="shared" si="205"/>
        <v>1000</v>
      </c>
    </row>
    <row r="991" spans="1:14" ht="33" customHeight="1" x14ac:dyDescent="0.2">
      <c r="A991" s="50" t="str">
        <f ca="1">IF(ISERROR(MATCH(E991,Код_КВР,0)),"",INDIRECT(ADDRESS(MATCH(E991,Код_КВР,0)+1,2,,,"КВР")))</f>
        <v>Капитальные вложения в объекты государственной (муниципальной) собственности</v>
      </c>
      <c r="B991" s="61" t="s">
        <v>612</v>
      </c>
      <c r="C991" s="65" t="s">
        <v>73</v>
      </c>
      <c r="D991" s="46" t="s">
        <v>76</v>
      </c>
      <c r="E991" s="26">
        <v>400</v>
      </c>
      <c r="F991" s="62">
        <f t="shared" si="208"/>
        <v>1000</v>
      </c>
      <c r="G991" s="62">
        <f t="shared" si="208"/>
        <v>0</v>
      </c>
      <c r="H991" s="49">
        <f t="shared" si="202"/>
        <v>1000</v>
      </c>
      <c r="I991" s="62">
        <f t="shared" si="208"/>
        <v>0</v>
      </c>
      <c r="J991" s="49">
        <f t="shared" si="195"/>
        <v>1000</v>
      </c>
      <c r="K991" s="62">
        <f t="shared" si="208"/>
        <v>0</v>
      </c>
      <c r="L991" s="49">
        <f t="shared" si="206"/>
        <v>1000</v>
      </c>
      <c r="M991" s="62">
        <f t="shared" si="208"/>
        <v>0</v>
      </c>
      <c r="N991" s="49">
        <f t="shared" si="205"/>
        <v>1000</v>
      </c>
    </row>
    <row r="992" spans="1:14" ht="17.25" customHeight="1" x14ac:dyDescent="0.2">
      <c r="A992" s="50" t="str">
        <f ca="1">IF(ISERROR(MATCH(E992,Код_КВР,0)),"",INDIRECT(ADDRESS(MATCH(E992,Код_КВР,0)+1,2,,,"КВР")))</f>
        <v>Бюджетные инвестиции</v>
      </c>
      <c r="B992" s="61" t="s">
        <v>612</v>
      </c>
      <c r="C992" s="65" t="s">
        <v>73</v>
      </c>
      <c r="D992" s="46" t="s">
        <v>76</v>
      </c>
      <c r="E992" s="26">
        <v>410</v>
      </c>
      <c r="F992" s="62">
        <f>'прил. 8'!G1146</f>
        <v>1000</v>
      </c>
      <c r="G992" s="62">
        <f>'прил. 8'!H1146</f>
        <v>0</v>
      </c>
      <c r="H992" s="49">
        <f t="shared" si="202"/>
        <v>1000</v>
      </c>
      <c r="I992" s="62">
        <f>'прил. 8'!J1146</f>
        <v>0</v>
      </c>
      <c r="J992" s="49">
        <f t="shared" si="195"/>
        <v>1000</v>
      </c>
      <c r="K992" s="62">
        <f>'прил. 8'!L1146</f>
        <v>0</v>
      </c>
      <c r="L992" s="49">
        <f t="shared" si="206"/>
        <v>1000</v>
      </c>
      <c r="M992" s="62">
        <f>'прил. 8'!N1146</f>
        <v>0</v>
      </c>
      <c r="N992" s="49">
        <f t="shared" si="205"/>
        <v>1000</v>
      </c>
    </row>
    <row r="993" spans="1:14" ht="17.25" customHeight="1" x14ac:dyDescent="0.2">
      <c r="A993" s="50" t="str">
        <f ca="1">IF(ISERROR(MATCH(B993,Код_КЦСР,0)),"",INDIRECT(ADDRESS(MATCH(B993,Код_КЦСР,0)+1,2,,,"КЦСР")))</f>
        <v>Детский сад № 20 в 112 мкр.</v>
      </c>
      <c r="B993" s="61" t="s">
        <v>736</v>
      </c>
      <c r="C993" s="65"/>
      <c r="D993" s="46"/>
      <c r="E993" s="26"/>
      <c r="F993" s="62"/>
      <c r="G993" s="62"/>
      <c r="H993" s="49"/>
      <c r="I993" s="62"/>
      <c r="J993" s="49"/>
      <c r="K993" s="62"/>
      <c r="L993" s="49"/>
      <c r="M993" s="62">
        <f>M994</f>
        <v>1247.3</v>
      </c>
      <c r="N993" s="49">
        <f t="shared" si="205"/>
        <v>1247.3</v>
      </c>
    </row>
    <row r="994" spans="1:14" ht="17.25" customHeight="1" x14ac:dyDescent="0.2">
      <c r="A994" s="50" t="str">
        <f ca="1">IF(ISERROR(MATCH(C994,Код_Раздел,0)),"",INDIRECT(ADDRESS(MATCH(C994,Код_Раздел,0)+1,2,,,"Раздел")))</f>
        <v>Образование</v>
      </c>
      <c r="B994" s="61" t="s">
        <v>736</v>
      </c>
      <c r="C994" s="65" t="s">
        <v>60</v>
      </c>
      <c r="D994" s="46"/>
      <c r="E994" s="26"/>
      <c r="F994" s="62"/>
      <c r="G994" s="62"/>
      <c r="H994" s="49"/>
      <c r="I994" s="62"/>
      <c r="J994" s="49"/>
      <c r="K994" s="62"/>
      <c r="L994" s="49"/>
      <c r="M994" s="62">
        <f>M995</f>
        <v>1247.3</v>
      </c>
      <c r="N994" s="49">
        <f t="shared" si="205"/>
        <v>1247.3</v>
      </c>
    </row>
    <row r="995" spans="1:14" ht="17.25" customHeight="1" x14ac:dyDescent="0.2">
      <c r="A995" s="45" t="s">
        <v>109</v>
      </c>
      <c r="B995" s="61" t="s">
        <v>736</v>
      </c>
      <c r="C995" s="65" t="s">
        <v>60</v>
      </c>
      <c r="D995" s="46" t="s">
        <v>70</v>
      </c>
      <c r="E995" s="26"/>
      <c r="F995" s="62"/>
      <c r="G995" s="62"/>
      <c r="H995" s="49"/>
      <c r="I995" s="62"/>
      <c r="J995" s="49"/>
      <c r="K995" s="62"/>
      <c r="L995" s="49"/>
      <c r="M995" s="62">
        <f>M996</f>
        <v>1247.3</v>
      </c>
      <c r="N995" s="49">
        <f t="shared" si="205"/>
        <v>1247.3</v>
      </c>
    </row>
    <row r="996" spans="1:14" ht="17.25" customHeight="1" x14ac:dyDescent="0.2">
      <c r="A996" s="50" t="str">
        <f ca="1">IF(ISERROR(MATCH(E996,Код_КВР,0)),"",INDIRECT(ADDRESS(MATCH(E996,Код_КВР,0)+1,2,,,"КВР")))</f>
        <v>Капитальные вложения в объекты государственной (муниципальной) собственности</v>
      </c>
      <c r="B996" s="61" t="s">
        <v>736</v>
      </c>
      <c r="C996" s="65" t="s">
        <v>60</v>
      </c>
      <c r="D996" s="46" t="s">
        <v>70</v>
      </c>
      <c r="E996" s="26">
        <v>400</v>
      </c>
      <c r="F996" s="62"/>
      <c r="G996" s="62"/>
      <c r="H996" s="49"/>
      <c r="I996" s="62"/>
      <c r="J996" s="49"/>
      <c r="K996" s="62"/>
      <c r="L996" s="49"/>
      <c r="M996" s="62">
        <f>M997</f>
        <v>1247.3</v>
      </c>
      <c r="N996" s="49">
        <f t="shared" si="205"/>
        <v>1247.3</v>
      </c>
    </row>
    <row r="997" spans="1:14" ht="17.25" customHeight="1" x14ac:dyDescent="0.2">
      <c r="A997" s="50" t="str">
        <f ca="1">IF(ISERROR(MATCH(E997,Код_КВР,0)),"",INDIRECT(ADDRESS(MATCH(E997,Код_КВР,0)+1,2,,,"КВР")))</f>
        <v>Бюджетные инвестиции</v>
      </c>
      <c r="B997" s="61" t="s">
        <v>736</v>
      </c>
      <c r="C997" s="65" t="s">
        <v>60</v>
      </c>
      <c r="D997" s="46" t="s">
        <v>70</v>
      </c>
      <c r="E997" s="26">
        <v>410</v>
      </c>
      <c r="F997" s="62"/>
      <c r="G997" s="62"/>
      <c r="H997" s="49"/>
      <c r="I997" s="62"/>
      <c r="J997" s="49"/>
      <c r="K997" s="62"/>
      <c r="L997" s="49"/>
      <c r="M997" s="62">
        <f>'прил. 8'!N1224</f>
        <v>1247.3</v>
      </c>
      <c r="N997" s="49">
        <f t="shared" si="205"/>
        <v>1247.3</v>
      </c>
    </row>
    <row r="998" spans="1:14" ht="17.25" customHeight="1" x14ac:dyDescent="0.2">
      <c r="A998" s="50" t="str">
        <f ca="1">IF(ISERROR(MATCH(B998,Код_КЦСР,0)),"",INDIRECT(ADDRESS(MATCH(B998,Код_КЦСР,0)+1,2,,,"КЦСР")))</f>
        <v>Детский сад на 420 мест в 144 мкр.</v>
      </c>
      <c r="B998" s="61" t="s">
        <v>737</v>
      </c>
      <c r="C998" s="65"/>
      <c r="D998" s="46"/>
      <c r="E998" s="26"/>
      <c r="F998" s="62"/>
      <c r="G998" s="62"/>
      <c r="H998" s="49"/>
      <c r="I998" s="62"/>
      <c r="J998" s="49"/>
      <c r="K998" s="62"/>
      <c r="L998" s="49"/>
      <c r="M998" s="62">
        <f>M999</f>
        <v>988.5</v>
      </c>
      <c r="N998" s="49">
        <f t="shared" si="205"/>
        <v>988.5</v>
      </c>
    </row>
    <row r="999" spans="1:14" ht="17.25" customHeight="1" x14ac:dyDescent="0.2">
      <c r="A999" s="50" t="str">
        <f ca="1">IF(ISERROR(MATCH(C999,Код_Раздел,0)),"",INDIRECT(ADDRESS(MATCH(C999,Код_Раздел,0)+1,2,,,"Раздел")))</f>
        <v>Образование</v>
      </c>
      <c r="B999" s="61" t="s">
        <v>737</v>
      </c>
      <c r="C999" s="65" t="s">
        <v>60</v>
      </c>
      <c r="D999" s="46"/>
      <c r="E999" s="26"/>
      <c r="F999" s="62"/>
      <c r="G999" s="62"/>
      <c r="H999" s="49"/>
      <c r="I999" s="62"/>
      <c r="J999" s="49"/>
      <c r="K999" s="62"/>
      <c r="L999" s="49"/>
      <c r="M999" s="62">
        <f>M1000</f>
        <v>988.5</v>
      </c>
      <c r="N999" s="49">
        <f t="shared" si="205"/>
        <v>988.5</v>
      </c>
    </row>
    <row r="1000" spans="1:14" ht="17.25" customHeight="1" x14ac:dyDescent="0.2">
      <c r="A1000" s="45" t="s">
        <v>109</v>
      </c>
      <c r="B1000" s="61" t="s">
        <v>737</v>
      </c>
      <c r="C1000" s="65" t="s">
        <v>60</v>
      </c>
      <c r="D1000" s="46" t="s">
        <v>70</v>
      </c>
      <c r="E1000" s="26"/>
      <c r="F1000" s="62"/>
      <c r="G1000" s="62"/>
      <c r="H1000" s="49"/>
      <c r="I1000" s="62"/>
      <c r="J1000" s="49"/>
      <c r="K1000" s="62"/>
      <c r="L1000" s="49"/>
      <c r="M1000" s="62">
        <f>M1001</f>
        <v>988.5</v>
      </c>
      <c r="N1000" s="49">
        <f t="shared" si="205"/>
        <v>988.5</v>
      </c>
    </row>
    <row r="1001" spans="1:14" ht="17.25" customHeight="1" x14ac:dyDescent="0.2">
      <c r="A1001" s="50" t="str">
        <f ca="1">IF(ISERROR(MATCH(E1001,Код_КВР,0)),"",INDIRECT(ADDRESS(MATCH(E1001,Код_КВР,0)+1,2,,,"КВР")))</f>
        <v>Капитальные вложения в объекты государственной (муниципальной) собственности</v>
      </c>
      <c r="B1001" s="61" t="s">
        <v>737</v>
      </c>
      <c r="C1001" s="65" t="s">
        <v>60</v>
      </c>
      <c r="D1001" s="46" t="s">
        <v>70</v>
      </c>
      <c r="E1001" s="26">
        <v>400</v>
      </c>
      <c r="F1001" s="62"/>
      <c r="G1001" s="62"/>
      <c r="H1001" s="49"/>
      <c r="I1001" s="62"/>
      <c r="J1001" s="49"/>
      <c r="K1001" s="62"/>
      <c r="L1001" s="49"/>
      <c r="M1001" s="62">
        <f>M1002</f>
        <v>988.5</v>
      </c>
      <c r="N1001" s="49">
        <f t="shared" si="205"/>
        <v>988.5</v>
      </c>
    </row>
    <row r="1002" spans="1:14" ht="17.25" customHeight="1" x14ac:dyDescent="0.2">
      <c r="A1002" s="50" t="str">
        <f ca="1">IF(ISERROR(MATCH(E1002,Код_КВР,0)),"",INDIRECT(ADDRESS(MATCH(E1002,Код_КВР,0)+1,2,,,"КВР")))</f>
        <v>Бюджетные инвестиции</v>
      </c>
      <c r="B1002" s="61" t="s">
        <v>737</v>
      </c>
      <c r="C1002" s="65" t="s">
        <v>60</v>
      </c>
      <c r="D1002" s="46" t="s">
        <v>70</v>
      </c>
      <c r="E1002" s="26">
        <v>410</v>
      </c>
      <c r="F1002" s="62"/>
      <c r="G1002" s="62"/>
      <c r="H1002" s="49"/>
      <c r="I1002" s="62"/>
      <c r="J1002" s="49"/>
      <c r="K1002" s="62"/>
      <c r="L1002" s="49"/>
      <c r="M1002" s="62">
        <f>'прил. 8'!N1227</f>
        <v>988.5</v>
      </c>
      <c r="N1002" s="49">
        <f t="shared" si="205"/>
        <v>988.5</v>
      </c>
    </row>
    <row r="1003" spans="1:14" x14ac:dyDescent="0.2">
      <c r="A1003" s="50" t="str">
        <f ca="1">IF(ISERROR(MATCH(B1003,Код_КЦСР,0)),"",INDIRECT(ADDRESS(MATCH(B1003,Код_КЦСР,0)+1,2,,,"КЦСР")))</f>
        <v>Капитальный ремонт объектов муниципальной собственности</v>
      </c>
      <c r="B1003" s="61" t="s">
        <v>366</v>
      </c>
      <c r="C1003" s="65"/>
      <c r="D1003" s="46"/>
      <c r="E1003" s="26"/>
      <c r="F1003" s="62">
        <f>F1004+F1031</f>
        <v>45867.8</v>
      </c>
      <c r="G1003" s="62">
        <f>G1004+G1031</f>
        <v>8420</v>
      </c>
      <c r="H1003" s="49">
        <f t="shared" si="202"/>
        <v>54287.8</v>
      </c>
      <c r="I1003" s="62">
        <f>I1004+I1031</f>
        <v>0</v>
      </c>
      <c r="J1003" s="49">
        <f t="shared" si="195"/>
        <v>54287.8</v>
      </c>
      <c r="K1003" s="62">
        <f>K1004+K1031+K1041+K1046</f>
        <v>19736</v>
      </c>
      <c r="L1003" s="49">
        <f t="shared" si="206"/>
        <v>74023.8</v>
      </c>
      <c r="M1003" s="62">
        <f>M1004+M1031+M1041+M1046</f>
        <v>29.700000000000003</v>
      </c>
      <c r="N1003" s="49">
        <f t="shared" si="205"/>
        <v>74053.5</v>
      </c>
    </row>
    <row r="1004" spans="1:14" ht="36.75" customHeight="1" x14ac:dyDescent="0.2">
      <c r="A1004" s="50" t="str">
        <f ca="1">IF(ISERROR(MATCH(B1004,Код_КЦСР,0)),"",INDIRECT(ADDRESS(MATCH(B1004,Код_КЦСР,0)+1,2,,,"КЦСР")))</f>
        <v>Капитальный ремонт объектов муниципальной собственности, за счет средств городского бюджета</v>
      </c>
      <c r="B1004" s="61" t="s">
        <v>559</v>
      </c>
      <c r="C1004" s="65"/>
      <c r="D1004" s="46"/>
      <c r="E1004" s="26"/>
      <c r="F1004" s="62">
        <f>F1005+F1009+F1016+F1020+F1027</f>
        <v>38589.5</v>
      </c>
      <c r="G1004" s="62">
        <f>G1005+G1009+G1016+G1020+G1027</f>
        <v>8420</v>
      </c>
      <c r="H1004" s="49">
        <f t="shared" si="202"/>
        <v>47009.5</v>
      </c>
      <c r="I1004" s="62">
        <f>I1005+I1009+I1016+I1020+I1027</f>
        <v>0</v>
      </c>
      <c r="J1004" s="49">
        <f t="shared" si="195"/>
        <v>47009.5</v>
      </c>
      <c r="K1004" s="62">
        <f>K1005+K1009+K1016+K1020+K1027</f>
        <v>-8568.4000000000015</v>
      </c>
      <c r="L1004" s="49">
        <f t="shared" si="206"/>
        <v>38441.1</v>
      </c>
      <c r="M1004" s="62">
        <f>M1005+M1009+M1016+M1020+M1027</f>
        <v>26.1</v>
      </c>
      <c r="N1004" s="49">
        <f t="shared" si="205"/>
        <v>38467.199999999997</v>
      </c>
    </row>
    <row r="1005" spans="1:14" x14ac:dyDescent="0.2">
      <c r="A1005" s="45" t="s">
        <v>432</v>
      </c>
      <c r="B1005" s="61" t="s">
        <v>559</v>
      </c>
      <c r="C1005" s="65" t="s">
        <v>70</v>
      </c>
      <c r="D1005" s="46"/>
      <c r="E1005" s="26"/>
      <c r="F1005" s="62">
        <f>'прил. 8'!G1113</f>
        <v>1254.5999999999999</v>
      </c>
      <c r="G1005" s="62">
        <f>'прил. 8'!H1113</f>
        <v>0</v>
      </c>
      <c r="H1005" s="49">
        <f t="shared" si="202"/>
        <v>1254.5999999999999</v>
      </c>
      <c r="I1005" s="62">
        <f>'прил. 8'!J1113</f>
        <v>0</v>
      </c>
      <c r="J1005" s="49">
        <f t="shared" si="195"/>
        <v>1254.5999999999999</v>
      </c>
      <c r="K1005" s="62">
        <f>'прил. 8'!L1113</f>
        <v>0</v>
      </c>
      <c r="L1005" s="49">
        <f t="shared" si="206"/>
        <v>1254.5999999999999</v>
      </c>
      <c r="M1005" s="62">
        <f>'прил. 8'!N1113</f>
        <v>0</v>
      </c>
      <c r="N1005" s="49">
        <f t="shared" si="205"/>
        <v>1254.5999999999999</v>
      </c>
    </row>
    <row r="1006" spans="1:14" x14ac:dyDescent="0.2">
      <c r="A1006" s="45" t="s">
        <v>91</v>
      </c>
      <c r="B1006" s="61" t="s">
        <v>559</v>
      </c>
      <c r="C1006" s="65" t="s">
        <v>70</v>
      </c>
      <c r="D1006" s="46" t="s">
        <v>55</v>
      </c>
      <c r="E1006" s="26"/>
      <c r="F1006" s="62">
        <f>'прил. 8'!G1114</f>
        <v>1254.5999999999999</v>
      </c>
      <c r="G1006" s="62">
        <f>'прил. 8'!H1114</f>
        <v>0</v>
      </c>
      <c r="H1006" s="49">
        <f t="shared" si="202"/>
        <v>1254.5999999999999</v>
      </c>
      <c r="I1006" s="62">
        <f>'прил. 8'!J1114</f>
        <v>0</v>
      </c>
      <c r="J1006" s="49">
        <f t="shared" si="195"/>
        <v>1254.5999999999999</v>
      </c>
      <c r="K1006" s="62">
        <f>'прил. 8'!L1114</f>
        <v>0</v>
      </c>
      <c r="L1006" s="49">
        <f t="shared" si="206"/>
        <v>1254.5999999999999</v>
      </c>
      <c r="M1006" s="62">
        <f>'прил. 8'!N1114</f>
        <v>0</v>
      </c>
      <c r="N1006" s="49">
        <f t="shared" si="205"/>
        <v>1254.5999999999999</v>
      </c>
    </row>
    <row r="1007" spans="1:14" ht="33" x14ac:dyDescent="0.2">
      <c r="A1007" s="50" t="str">
        <f ca="1">IF(ISERROR(MATCH(E1007,Код_КВР,0)),"",INDIRECT(ADDRESS(MATCH(E1007,Код_КВР,0)+1,2,,,"КВР")))</f>
        <v>Закупка товаров, работ и услуг для обеспечения государственных (муниципальных) нужд</v>
      </c>
      <c r="B1007" s="61" t="s">
        <v>559</v>
      </c>
      <c r="C1007" s="65" t="s">
        <v>70</v>
      </c>
      <c r="D1007" s="46" t="s">
        <v>55</v>
      </c>
      <c r="E1007" s="26">
        <v>200</v>
      </c>
      <c r="F1007" s="62">
        <f>'прил. 8'!G1116</f>
        <v>1254.5999999999999</v>
      </c>
      <c r="G1007" s="62">
        <f>'прил. 8'!H1116</f>
        <v>0</v>
      </c>
      <c r="H1007" s="49">
        <f t="shared" si="202"/>
        <v>1254.5999999999999</v>
      </c>
      <c r="I1007" s="62">
        <f>'прил. 8'!J1116</f>
        <v>0</v>
      </c>
      <c r="J1007" s="49">
        <f t="shared" si="195"/>
        <v>1254.5999999999999</v>
      </c>
      <c r="K1007" s="62">
        <f>'прил. 8'!L1116</f>
        <v>0</v>
      </c>
      <c r="L1007" s="49">
        <f t="shared" si="206"/>
        <v>1254.5999999999999</v>
      </c>
      <c r="M1007" s="62">
        <f>'прил. 8'!N1116</f>
        <v>0</v>
      </c>
      <c r="N1007" s="49">
        <f t="shared" si="205"/>
        <v>1254.5999999999999</v>
      </c>
    </row>
    <row r="1008" spans="1:14" ht="33" x14ac:dyDescent="0.2">
      <c r="A1008" s="50" t="str">
        <f ca="1">IF(ISERROR(MATCH(E1008,Код_КВР,0)),"",INDIRECT(ADDRESS(MATCH(E1008,Код_КВР,0)+1,2,,,"КВР")))</f>
        <v>Иные закупки товаров, работ и услуг для обеспечения государственных (муниципальных) нужд</v>
      </c>
      <c r="B1008" s="61" t="s">
        <v>559</v>
      </c>
      <c r="C1008" s="65" t="s">
        <v>70</v>
      </c>
      <c r="D1008" s="46" t="s">
        <v>55</v>
      </c>
      <c r="E1008" s="26">
        <v>240</v>
      </c>
      <c r="F1008" s="62">
        <f>'прил. 8'!G1117</f>
        <v>1254.5999999999999</v>
      </c>
      <c r="G1008" s="62">
        <f>'прил. 8'!H1117</f>
        <v>0</v>
      </c>
      <c r="H1008" s="49">
        <f t="shared" si="202"/>
        <v>1254.5999999999999</v>
      </c>
      <c r="I1008" s="62">
        <f>'прил. 8'!J1117</f>
        <v>0</v>
      </c>
      <c r="J1008" s="49">
        <f t="shared" si="195"/>
        <v>1254.5999999999999</v>
      </c>
      <c r="K1008" s="62">
        <f>'прил. 8'!L1117</f>
        <v>0</v>
      </c>
      <c r="L1008" s="49">
        <f t="shared" si="206"/>
        <v>1254.5999999999999</v>
      </c>
      <c r="M1008" s="62">
        <f>'прил. 8'!N1117</f>
        <v>0</v>
      </c>
      <c r="N1008" s="49">
        <f t="shared" si="205"/>
        <v>1254.5999999999999</v>
      </c>
    </row>
    <row r="1009" spans="1:14" x14ac:dyDescent="0.2">
      <c r="A1009" s="50" t="str">
        <f ca="1">IF(ISERROR(MATCH(C1009,Код_Раздел,0)),"",INDIRECT(ADDRESS(MATCH(C1009,Код_Раздел,0)+1,2,,,"Раздел")))</f>
        <v>Национальная экономика</v>
      </c>
      <c r="B1009" s="61" t="s">
        <v>559</v>
      </c>
      <c r="C1009" s="65" t="s">
        <v>73</v>
      </c>
      <c r="D1009" s="46"/>
      <c r="E1009" s="26"/>
      <c r="F1009" s="62">
        <f>F1013</f>
        <v>17762.2</v>
      </c>
      <c r="G1009" s="62">
        <f>G1013+G1010</f>
        <v>8420</v>
      </c>
      <c r="H1009" s="49">
        <f t="shared" si="202"/>
        <v>26182.2</v>
      </c>
      <c r="I1009" s="62">
        <f>I1013+I1010</f>
        <v>-393.3</v>
      </c>
      <c r="J1009" s="49">
        <f t="shared" si="195"/>
        <v>25788.9</v>
      </c>
      <c r="K1009" s="62">
        <f>K1013+K1010</f>
        <v>-1314</v>
      </c>
      <c r="L1009" s="49">
        <f t="shared" si="206"/>
        <v>24474.9</v>
      </c>
      <c r="M1009" s="62">
        <f>M1013+M1010</f>
        <v>-23.6</v>
      </c>
      <c r="N1009" s="49">
        <f t="shared" si="205"/>
        <v>24451.300000000003</v>
      </c>
    </row>
    <row r="1010" spans="1:14" x14ac:dyDescent="0.2">
      <c r="A1010" s="51" t="s">
        <v>45</v>
      </c>
      <c r="B1010" s="61" t="s">
        <v>559</v>
      </c>
      <c r="C1010" s="65" t="s">
        <v>73</v>
      </c>
      <c r="D1010" s="46" t="s">
        <v>76</v>
      </c>
      <c r="E1010" s="26"/>
      <c r="F1010" s="62"/>
      <c r="G1010" s="62">
        <f>G1011</f>
        <v>8420</v>
      </c>
      <c r="H1010" s="49">
        <f t="shared" si="202"/>
        <v>8420</v>
      </c>
      <c r="I1010" s="62">
        <f>I1011</f>
        <v>-393.3</v>
      </c>
      <c r="J1010" s="49">
        <f t="shared" si="195"/>
        <v>8026.7</v>
      </c>
      <c r="K1010" s="62">
        <f>K1011</f>
        <v>-1314</v>
      </c>
      <c r="L1010" s="49">
        <f t="shared" si="206"/>
        <v>6712.7</v>
      </c>
      <c r="M1010" s="62">
        <f>M1011</f>
        <v>0</v>
      </c>
      <c r="N1010" s="49">
        <f t="shared" si="205"/>
        <v>6712.7</v>
      </c>
    </row>
    <row r="1011" spans="1:14" ht="33" x14ac:dyDescent="0.2">
      <c r="A1011" s="50" t="str">
        <f ca="1">IF(ISERROR(MATCH(E1011,Код_КВР,0)),"",INDIRECT(ADDRESS(MATCH(E1011,Код_КВР,0)+1,2,,,"КВР")))</f>
        <v>Закупка товаров, работ и услуг для обеспечения государственных (муниципальных) нужд</v>
      </c>
      <c r="B1011" s="61" t="s">
        <v>559</v>
      </c>
      <c r="C1011" s="65" t="s">
        <v>73</v>
      </c>
      <c r="D1011" s="46" t="s">
        <v>76</v>
      </c>
      <c r="E1011" s="26">
        <v>200</v>
      </c>
      <c r="F1011" s="62"/>
      <c r="G1011" s="62">
        <f>G1012</f>
        <v>8420</v>
      </c>
      <c r="H1011" s="49">
        <f t="shared" si="202"/>
        <v>8420</v>
      </c>
      <c r="I1011" s="62">
        <f>I1012</f>
        <v>-393.3</v>
      </c>
      <c r="J1011" s="49">
        <f t="shared" ref="J1011:J1084" si="209">H1011+I1011</f>
        <v>8026.7</v>
      </c>
      <c r="K1011" s="62">
        <f>K1012</f>
        <v>-1314</v>
      </c>
      <c r="L1011" s="49">
        <f t="shared" si="206"/>
        <v>6712.7</v>
      </c>
      <c r="M1011" s="62">
        <f>M1012</f>
        <v>0</v>
      </c>
      <c r="N1011" s="49">
        <f t="shared" si="205"/>
        <v>6712.7</v>
      </c>
    </row>
    <row r="1012" spans="1:14" ht="33" x14ac:dyDescent="0.2">
      <c r="A1012" s="50" t="str">
        <f ca="1">IF(ISERROR(MATCH(E1012,Код_КВР,0)),"",INDIRECT(ADDRESS(MATCH(E1012,Код_КВР,0)+1,2,,,"КВР")))</f>
        <v>Иные закупки товаров, работ и услуг для обеспечения государственных (муниципальных) нужд</v>
      </c>
      <c r="B1012" s="61" t="s">
        <v>559</v>
      </c>
      <c r="C1012" s="65" t="s">
        <v>73</v>
      </c>
      <c r="D1012" s="46" t="s">
        <v>76</v>
      </c>
      <c r="E1012" s="26">
        <v>240</v>
      </c>
      <c r="F1012" s="62"/>
      <c r="G1012" s="62">
        <f>'прил. 8'!H1150</f>
        <v>8420</v>
      </c>
      <c r="H1012" s="49">
        <f t="shared" si="202"/>
        <v>8420</v>
      </c>
      <c r="I1012" s="62">
        <f>'прил. 8'!J1150</f>
        <v>-393.3</v>
      </c>
      <c r="J1012" s="49">
        <f t="shared" si="209"/>
        <v>8026.7</v>
      </c>
      <c r="K1012" s="62">
        <f>'прил. 8'!L1150</f>
        <v>-1314</v>
      </c>
      <c r="L1012" s="49">
        <f t="shared" si="206"/>
        <v>6712.7</v>
      </c>
      <c r="M1012" s="62">
        <f>'прил. 8'!N1150</f>
        <v>0</v>
      </c>
      <c r="N1012" s="49">
        <f t="shared" si="205"/>
        <v>6712.7</v>
      </c>
    </row>
    <row r="1013" spans="1:14" x14ac:dyDescent="0.2">
      <c r="A1013" s="45" t="s">
        <v>80</v>
      </c>
      <c r="B1013" s="61" t="s">
        <v>559</v>
      </c>
      <c r="C1013" s="65" t="s">
        <v>73</v>
      </c>
      <c r="D1013" s="46" t="s">
        <v>61</v>
      </c>
      <c r="E1013" s="26"/>
      <c r="F1013" s="62">
        <f t="shared" ref="F1013:M1014" si="210">F1014</f>
        <v>17762.2</v>
      </c>
      <c r="G1013" s="62">
        <f t="shared" si="210"/>
        <v>0</v>
      </c>
      <c r="H1013" s="49">
        <f t="shared" si="202"/>
        <v>17762.2</v>
      </c>
      <c r="I1013" s="62">
        <f t="shared" si="210"/>
        <v>0</v>
      </c>
      <c r="J1013" s="49">
        <f t="shared" si="209"/>
        <v>17762.2</v>
      </c>
      <c r="K1013" s="62">
        <f t="shared" si="210"/>
        <v>0</v>
      </c>
      <c r="L1013" s="49">
        <f t="shared" si="206"/>
        <v>17762.2</v>
      </c>
      <c r="M1013" s="62">
        <f t="shared" si="210"/>
        <v>-23.6</v>
      </c>
      <c r="N1013" s="49">
        <f t="shared" si="205"/>
        <v>17738.600000000002</v>
      </c>
    </row>
    <row r="1014" spans="1:14" ht="33" x14ac:dyDescent="0.2">
      <c r="A1014" s="50" t="str">
        <f ca="1">IF(ISERROR(MATCH(E1014,Код_КВР,0)),"",INDIRECT(ADDRESS(MATCH(E1014,Код_КВР,0)+1,2,,,"КВР")))</f>
        <v>Закупка товаров, работ и услуг для обеспечения государственных (муниципальных) нужд</v>
      </c>
      <c r="B1014" s="61" t="s">
        <v>559</v>
      </c>
      <c r="C1014" s="65" t="s">
        <v>73</v>
      </c>
      <c r="D1014" s="46" t="s">
        <v>61</v>
      </c>
      <c r="E1014" s="26">
        <v>200</v>
      </c>
      <c r="F1014" s="62">
        <f t="shared" si="210"/>
        <v>17762.2</v>
      </c>
      <c r="G1014" s="62">
        <f t="shared" si="210"/>
        <v>0</v>
      </c>
      <c r="H1014" s="49">
        <f t="shared" si="202"/>
        <v>17762.2</v>
      </c>
      <c r="I1014" s="62">
        <f t="shared" si="210"/>
        <v>0</v>
      </c>
      <c r="J1014" s="49">
        <f t="shared" si="209"/>
        <v>17762.2</v>
      </c>
      <c r="K1014" s="62">
        <f t="shared" si="210"/>
        <v>0</v>
      </c>
      <c r="L1014" s="49">
        <f t="shared" si="206"/>
        <v>17762.2</v>
      </c>
      <c r="M1014" s="62">
        <f t="shared" si="210"/>
        <v>-23.6</v>
      </c>
      <c r="N1014" s="49">
        <f t="shared" si="205"/>
        <v>17738.600000000002</v>
      </c>
    </row>
    <row r="1015" spans="1:14" ht="33" x14ac:dyDescent="0.2">
      <c r="A1015" s="50" t="str">
        <f ca="1">IF(ISERROR(MATCH(E1015,Код_КВР,0)),"",INDIRECT(ADDRESS(MATCH(E1015,Код_КВР,0)+1,2,,,"КВР")))</f>
        <v>Иные закупки товаров, работ и услуг для обеспечения государственных (муниципальных) нужд</v>
      </c>
      <c r="B1015" s="61" t="s">
        <v>559</v>
      </c>
      <c r="C1015" s="65" t="s">
        <v>73</v>
      </c>
      <c r="D1015" s="46" t="s">
        <v>61</v>
      </c>
      <c r="E1015" s="26">
        <v>240</v>
      </c>
      <c r="F1015" s="62">
        <f>'прил. 8'!G1183</f>
        <v>17762.2</v>
      </c>
      <c r="G1015" s="62">
        <f>'прил. 8'!H1183</f>
        <v>0</v>
      </c>
      <c r="H1015" s="49">
        <f t="shared" si="202"/>
        <v>17762.2</v>
      </c>
      <c r="I1015" s="62">
        <f>'прил. 8'!J1183</f>
        <v>0</v>
      </c>
      <c r="J1015" s="49">
        <f t="shared" si="209"/>
        <v>17762.2</v>
      </c>
      <c r="K1015" s="62">
        <f>'прил. 8'!L1183</f>
        <v>0</v>
      </c>
      <c r="L1015" s="49">
        <f t="shared" si="206"/>
        <v>17762.2</v>
      </c>
      <c r="M1015" s="62">
        <f>'прил. 8'!N1183</f>
        <v>-23.6</v>
      </c>
      <c r="N1015" s="49">
        <f t="shared" si="205"/>
        <v>17738.600000000002</v>
      </c>
    </row>
    <row r="1016" spans="1:14" x14ac:dyDescent="0.2">
      <c r="A1016" s="50" t="str">
        <f ca="1">IF(ISERROR(MATCH(C1016,Код_Раздел,0)),"",INDIRECT(ADDRESS(MATCH(C1016,Код_Раздел,0)+1,2,,,"Раздел")))</f>
        <v>Жилищно-коммунальное хозяйство</v>
      </c>
      <c r="B1016" s="61" t="s">
        <v>559</v>
      </c>
      <c r="C1016" s="65" t="s">
        <v>78</v>
      </c>
      <c r="D1016" s="46"/>
      <c r="E1016" s="26"/>
      <c r="F1016" s="62">
        <f t="shared" ref="F1016:M1018" si="211">F1017</f>
        <v>0</v>
      </c>
      <c r="G1016" s="62">
        <f t="shared" si="211"/>
        <v>0</v>
      </c>
      <c r="H1016" s="49">
        <f t="shared" si="202"/>
        <v>0</v>
      </c>
      <c r="I1016" s="62">
        <f t="shared" si="211"/>
        <v>393.3</v>
      </c>
      <c r="J1016" s="49">
        <f t="shared" si="209"/>
        <v>393.3</v>
      </c>
      <c r="K1016" s="62">
        <f t="shared" si="211"/>
        <v>40</v>
      </c>
      <c r="L1016" s="49">
        <f t="shared" si="206"/>
        <v>433.3</v>
      </c>
      <c r="M1016" s="62">
        <f t="shared" si="211"/>
        <v>49.7</v>
      </c>
      <c r="N1016" s="49">
        <f t="shared" si="205"/>
        <v>483</v>
      </c>
    </row>
    <row r="1017" spans="1:14" x14ac:dyDescent="0.2">
      <c r="A1017" s="50" t="s">
        <v>104</v>
      </c>
      <c r="B1017" s="61" t="s">
        <v>559</v>
      </c>
      <c r="C1017" s="65" t="s">
        <v>78</v>
      </c>
      <c r="D1017" s="46" t="s">
        <v>72</v>
      </c>
      <c r="E1017" s="26"/>
      <c r="F1017" s="62">
        <f t="shared" si="211"/>
        <v>0</v>
      </c>
      <c r="G1017" s="62">
        <f t="shared" si="211"/>
        <v>0</v>
      </c>
      <c r="H1017" s="49">
        <f t="shared" si="202"/>
        <v>0</v>
      </c>
      <c r="I1017" s="62">
        <f t="shared" si="211"/>
        <v>393.3</v>
      </c>
      <c r="J1017" s="49">
        <f t="shared" si="209"/>
        <v>393.3</v>
      </c>
      <c r="K1017" s="62">
        <f t="shared" si="211"/>
        <v>40</v>
      </c>
      <c r="L1017" s="49">
        <f t="shared" si="206"/>
        <v>433.3</v>
      </c>
      <c r="M1017" s="62">
        <f t="shared" si="211"/>
        <v>49.7</v>
      </c>
      <c r="N1017" s="49">
        <f t="shared" si="205"/>
        <v>483</v>
      </c>
    </row>
    <row r="1018" spans="1:14" ht="33" x14ac:dyDescent="0.2">
      <c r="A1018" s="50" t="str">
        <f ca="1">IF(ISERROR(MATCH(E1018,Код_КВР,0)),"",INDIRECT(ADDRESS(MATCH(E1018,Код_КВР,0)+1,2,,,"КВР")))</f>
        <v>Закупка товаров, работ и услуг для обеспечения государственных (муниципальных) нужд</v>
      </c>
      <c r="B1018" s="61" t="s">
        <v>559</v>
      </c>
      <c r="C1018" s="65" t="s">
        <v>78</v>
      </c>
      <c r="D1018" s="46" t="s">
        <v>72</v>
      </c>
      <c r="E1018" s="26">
        <v>200</v>
      </c>
      <c r="F1018" s="62">
        <f t="shared" si="211"/>
        <v>0</v>
      </c>
      <c r="G1018" s="62">
        <f t="shared" si="211"/>
        <v>0</v>
      </c>
      <c r="H1018" s="49">
        <f t="shared" si="202"/>
        <v>0</v>
      </c>
      <c r="I1018" s="62">
        <f t="shared" si="211"/>
        <v>393.3</v>
      </c>
      <c r="J1018" s="49">
        <f t="shared" si="209"/>
        <v>393.3</v>
      </c>
      <c r="K1018" s="62">
        <f t="shared" si="211"/>
        <v>40</v>
      </c>
      <c r="L1018" s="49">
        <f t="shared" si="206"/>
        <v>433.3</v>
      </c>
      <c r="M1018" s="62">
        <f t="shared" si="211"/>
        <v>49.7</v>
      </c>
      <c r="N1018" s="49">
        <f t="shared" si="205"/>
        <v>483</v>
      </c>
    </row>
    <row r="1019" spans="1:14" ht="33" x14ac:dyDescent="0.2">
      <c r="A1019" s="50" t="str">
        <f ca="1">IF(ISERROR(MATCH(E1019,Код_КВР,0)),"",INDIRECT(ADDRESS(MATCH(E1019,Код_КВР,0)+1,2,,,"КВР")))</f>
        <v>Иные закупки товаров, работ и услуг для обеспечения государственных (муниципальных) нужд</v>
      </c>
      <c r="B1019" s="61" t="s">
        <v>559</v>
      </c>
      <c r="C1019" s="65" t="s">
        <v>78</v>
      </c>
      <c r="D1019" s="46" t="s">
        <v>72</v>
      </c>
      <c r="E1019" s="26">
        <v>240</v>
      </c>
      <c r="F1019" s="62">
        <f>'прил. 8'!G1212</f>
        <v>0</v>
      </c>
      <c r="G1019" s="62">
        <f>'прил. 8'!H1212</f>
        <v>0</v>
      </c>
      <c r="H1019" s="49">
        <f t="shared" si="202"/>
        <v>0</v>
      </c>
      <c r="I1019" s="62">
        <f>'прил. 8'!J1216</f>
        <v>393.3</v>
      </c>
      <c r="J1019" s="49">
        <f t="shared" si="209"/>
        <v>393.3</v>
      </c>
      <c r="K1019" s="62">
        <f>'прил. 8'!L1216</f>
        <v>40</v>
      </c>
      <c r="L1019" s="49">
        <f t="shared" si="206"/>
        <v>433.3</v>
      </c>
      <c r="M1019" s="62">
        <f>'прил. 8'!N1216</f>
        <v>49.7</v>
      </c>
      <c r="N1019" s="49">
        <f t="shared" si="205"/>
        <v>483</v>
      </c>
    </row>
    <row r="1020" spans="1:14" x14ac:dyDescent="0.2">
      <c r="A1020" s="50" t="str">
        <f ca="1">IF(ISERROR(MATCH(C1020,Код_Раздел,0)),"",INDIRECT(ADDRESS(MATCH(C1020,Код_Раздел,0)+1,2,,,"Раздел")))</f>
        <v>Образование</v>
      </c>
      <c r="B1020" s="61" t="s">
        <v>559</v>
      </c>
      <c r="C1020" s="65" t="s">
        <v>60</v>
      </c>
      <c r="D1020" s="46"/>
      <c r="E1020" s="26"/>
      <c r="F1020" s="62">
        <f>F1021+F1024</f>
        <v>10323.200000000001</v>
      </c>
      <c r="G1020" s="62">
        <f>G1021+G1024</f>
        <v>0</v>
      </c>
      <c r="H1020" s="49">
        <f t="shared" si="202"/>
        <v>10323.200000000001</v>
      </c>
      <c r="I1020" s="62">
        <f>I1021+I1024</f>
        <v>0</v>
      </c>
      <c r="J1020" s="49">
        <f t="shared" si="209"/>
        <v>10323.200000000001</v>
      </c>
      <c r="K1020" s="62">
        <f>K1021+K1024</f>
        <v>-7294.4000000000005</v>
      </c>
      <c r="L1020" s="49">
        <f t="shared" si="206"/>
        <v>3028.8</v>
      </c>
      <c r="M1020" s="62">
        <f>M1021+M1024</f>
        <v>0</v>
      </c>
      <c r="N1020" s="49">
        <f t="shared" si="205"/>
        <v>3028.8</v>
      </c>
    </row>
    <row r="1021" spans="1:14" x14ac:dyDescent="0.2">
      <c r="A1021" s="45" t="s">
        <v>102</v>
      </c>
      <c r="B1021" s="61" t="s">
        <v>559</v>
      </c>
      <c r="C1021" s="65" t="s">
        <v>60</v>
      </c>
      <c r="D1021" s="46" t="s">
        <v>71</v>
      </c>
      <c r="E1021" s="26"/>
      <c r="F1021" s="62"/>
      <c r="G1021" s="62"/>
      <c r="H1021" s="49">
        <f>F1021+G1021</f>
        <v>0</v>
      </c>
      <c r="I1021" s="62"/>
      <c r="J1021" s="49">
        <f t="shared" si="209"/>
        <v>0</v>
      </c>
      <c r="K1021" s="62">
        <f>K1022</f>
        <v>2027.7</v>
      </c>
      <c r="L1021" s="49">
        <f t="shared" si="206"/>
        <v>2027.7</v>
      </c>
      <c r="M1021" s="62">
        <f>M1022</f>
        <v>0</v>
      </c>
      <c r="N1021" s="49">
        <f t="shared" si="205"/>
        <v>2027.7</v>
      </c>
    </row>
    <row r="1022" spans="1:14" ht="33" x14ac:dyDescent="0.2">
      <c r="A1022" s="50" t="str">
        <f ca="1">IF(ISERROR(MATCH(E1022,Код_КВР,0)),"",INDIRECT(ADDRESS(MATCH(E1022,Код_КВР,0)+1,2,,,"КВР")))</f>
        <v>Закупка товаров, работ и услуг для обеспечения государственных (муниципальных) нужд</v>
      </c>
      <c r="B1022" s="61" t="s">
        <v>559</v>
      </c>
      <c r="C1022" s="65" t="s">
        <v>60</v>
      </c>
      <c r="D1022" s="46" t="s">
        <v>71</v>
      </c>
      <c r="E1022" s="26">
        <v>200</v>
      </c>
      <c r="F1022" s="62">
        <f>'прил. 8'!G1248</f>
        <v>0</v>
      </c>
      <c r="G1022" s="62">
        <f>'прил. 8'!H1248</f>
        <v>0</v>
      </c>
      <c r="H1022" s="49">
        <f t="shared" si="202"/>
        <v>0</v>
      </c>
      <c r="I1022" s="62">
        <f>'прил. 8'!J1248</f>
        <v>0</v>
      </c>
      <c r="J1022" s="49">
        <f t="shared" si="209"/>
        <v>0</v>
      </c>
      <c r="K1022" s="62">
        <f>'прил. 8'!L1248</f>
        <v>2027.7</v>
      </c>
      <c r="L1022" s="49">
        <f t="shared" si="206"/>
        <v>2027.7</v>
      </c>
      <c r="M1022" s="62">
        <f>'прил. 8'!N1248</f>
        <v>0</v>
      </c>
      <c r="N1022" s="49">
        <f t="shared" si="205"/>
        <v>2027.7</v>
      </c>
    </row>
    <row r="1023" spans="1:14" ht="33" x14ac:dyDescent="0.2">
      <c r="A1023" s="50" t="str">
        <f ca="1">IF(ISERROR(MATCH(E1023,Код_КВР,0)),"",INDIRECT(ADDRESS(MATCH(E1023,Код_КВР,0)+1,2,,,"КВР")))</f>
        <v>Иные закупки товаров, работ и услуг для обеспечения государственных (муниципальных) нужд</v>
      </c>
      <c r="B1023" s="61" t="s">
        <v>559</v>
      </c>
      <c r="C1023" s="65" t="s">
        <v>60</v>
      </c>
      <c r="D1023" s="46" t="s">
        <v>71</v>
      </c>
      <c r="E1023" s="26">
        <v>240</v>
      </c>
      <c r="F1023" s="62">
        <f>'прил. 8'!G1249</f>
        <v>0</v>
      </c>
      <c r="G1023" s="62">
        <f>'прил. 8'!H1249</f>
        <v>0</v>
      </c>
      <c r="H1023" s="49">
        <f t="shared" si="202"/>
        <v>0</v>
      </c>
      <c r="I1023" s="62">
        <f>'прил. 8'!J1249</f>
        <v>0</v>
      </c>
      <c r="J1023" s="49">
        <f t="shared" si="209"/>
        <v>0</v>
      </c>
      <c r="K1023" s="62">
        <f>'прил. 8'!L1249</f>
        <v>2027.7</v>
      </c>
      <c r="L1023" s="49">
        <f t="shared" si="206"/>
        <v>2027.7</v>
      </c>
      <c r="M1023" s="62">
        <f>'прил. 8'!N1249</f>
        <v>0</v>
      </c>
      <c r="N1023" s="49">
        <f t="shared" si="205"/>
        <v>2027.7</v>
      </c>
    </row>
    <row r="1024" spans="1:14" x14ac:dyDescent="0.2">
      <c r="A1024" s="50" t="s">
        <v>465</v>
      </c>
      <c r="B1024" s="61" t="s">
        <v>559</v>
      </c>
      <c r="C1024" s="65" t="s">
        <v>60</v>
      </c>
      <c r="D1024" s="46" t="s">
        <v>72</v>
      </c>
      <c r="E1024" s="26"/>
      <c r="F1024" s="62">
        <f t="shared" ref="F1024:M1024" si="212">F1025</f>
        <v>10323.200000000001</v>
      </c>
      <c r="G1024" s="62">
        <f t="shared" si="212"/>
        <v>0</v>
      </c>
      <c r="H1024" s="49">
        <f t="shared" si="202"/>
        <v>10323.200000000001</v>
      </c>
      <c r="I1024" s="62">
        <f t="shared" si="212"/>
        <v>0</v>
      </c>
      <c r="J1024" s="49">
        <f t="shared" si="209"/>
        <v>10323.200000000001</v>
      </c>
      <c r="K1024" s="62">
        <f t="shared" si="212"/>
        <v>-9322.1</v>
      </c>
      <c r="L1024" s="49">
        <f t="shared" si="206"/>
        <v>1001.1000000000004</v>
      </c>
      <c r="M1024" s="62">
        <f t="shared" si="212"/>
        <v>0</v>
      </c>
      <c r="N1024" s="49">
        <f t="shared" si="205"/>
        <v>1001.1000000000004</v>
      </c>
    </row>
    <row r="1025" spans="1:14" ht="33" x14ac:dyDescent="0.2">
      <c r="A1025" s="50" t="str">
        <f ca="1">IF(ISERROR(MATCH(E1025,Код_КВР,0)),"",INDIRECT(ADDRESS(MATCH(E1025,Код_КВР,0)+1,2,,,"КВР")))</f>
        <v>Закупка товаров, работ и услуг для обеспечения государственных (муниципальных) нужд</v>
      </c>
      <c r="B1025" s="61" t="s">
        <v>559</v>
      </c>
      <c r="C1025" s="65" t="s">
        <v>60</v>
      </c>
      <c r="D1025" s="46" t="s">
        <v>72</v>
      </c>
      <c r="E1025" s="26">
        <v>200</v>
      </c>
      <c r="F1025" s="62">
        <f>F1026</f>
        <v>10323.200000000001</v>
      </c>
      <c r="G1025" s="62">
        <f>G1026</f>
        <v>0</v>
      </c>
      <c r="H1025" s="49">
        <f t="shared" si="202"/>
        <v>10323.200000000001</v>
      </c>
      <c r="I1025" s="62">
        <f>I1026</f>
        <v>0</v>
      </c>
      <c r="J1025" s="49">
        <f t="shared" si="209"/>
        <v>10323.200000000001</v>
      </c>
      <c r="K1025" s="62">
        <f>K1026</f>
        <v>-9322.1</v>
      </c>
      <c r="L1025" s="49">
        <f t="shared" si="206"/>
        <v>1001.1000000000004</v>
      </c>
      <c r="M1025" s="62">
        <f>M1026</f>
        <v>0</v>
      </c>
      <c r="N1025" s="49">
        <f t="shared" si="205"/>
        <v>1001.1000000000004</v>
      </c>
    </row>
    <row r="1026" spans="1:14" ht="33" x14ac:dyDescent="0.2">
      <c r="A1026" s="50" t="str">
        <f ca="1">IF(ISERROR(MATCH(E1026,Код_КВР,0)),"",INDIRECT(ADDRESS(MATCH(E1026,Код_КВР,0)+1,2,,,"КВР")))</f>
        <v>Иные закупки товаров, работ и услуг для обеспечения государственных (муниципальных) нужд</v>
      </c>
      <c r="B1026" s="61" t="s">
        <v>559</v>
      </c>
      <c r="C1026" s="65" t="s">
        <v>60</v>
      </c>
      <c r="D1026" s="46" t="s">
        <v>72</v>
      </c>
      <c r="E1026" s="26">
        <v>240</v>
      </c>
      <c r="F1026" s="62">
        <f>'прил. 8'!G1266</f>
        <v>10323.200000000001</v>
      </c>
      <c r="G1026" s="62">
        <f>'прил. 8'!H1266</f>
        <v>0</v>
      </c>
      <c r="H1026" s="49">
        <f t="shared" si="202"/>
        <v>10323.200000000001</v>
      </c>
      <c r="I1026" s="62">
        <f>'прил. 8'!J1266</f>
        <v>0</v>
      </c>
      <c r="J1026" s="49">
        <f t="shared" si="209"/>
        <v>10323.200000000001</v>
      </c>
      <c r="K1026" s="62">
        <f>'прил. 8'!L1266</f>
        <v>-9322.1</v>
      </c>
      <c r="L1026" s="49">
        <f t="shared" si="206"/>
        <v>1001.1000000000004</v>
      </c>
      <c r="M1026" s="62">
        <f>'прил. 8'!N1266</f>
        <v>0</v>
      </c>
      <c r="N1026" s="49">
        <f t="shared" si="205"/>
        <v>1001.1000000000004</v>
      </c>
    </row>
    <row r="1027" spans="1:14" x14ac:dyDescent="0.2">
      <c r="A1027" s="50" t="str">
        <f ca="1">IF(ISERROR(MATCH(C1027,Код_Раздел,0)),"",INDIRECT(ADDRESS(MATCH(C1027,Код_Раздел,0)+1,2,,,"Раздел")))</f>
        <v>Культура, кинематография</v>
      </c>
      <c r="B1027" s="61" t="s">
        <v>559</v>
      </c>
      <c r="C1027" s="65" t="s">
        <v>79</v>
      </c>
      <c r="D1027" s="46"/>
      <c r="E1027" s="26"/>
      <c r="F1027" s="62">
        <f>F1028</f>
        <v>9249.5</v>
      </c>
      <c r="G1027" s="62">
        <f>G1028</f>
        <v>0</v>
      </c>
      <c r="H1027" s="49">
        <f t="shared" si="202"/>
        <v>9249.5</v>
      </c>
      <c r="I1027" s="62">
        <f>I1028</f>
        <v>0</v>
      </c>
      <c r="J1027" s="49">
        <f t="shared" si="209"/>
        <v>9249.5</v>
      </c>
      <c r="K1027" s="62">
        <f>K1028</f>
        <v>0</v>
      </c>
      <c r="L1027" s="49">
        <f t="shared" si="206"/>
        <v>9249.5</v>
      </c>
      <c r="M1027" s="62">
        <f>M1028</f>
        <v>0</v>
      </c>
      <c r="N1027" s="49">
        <f t="shared" si="205"/>
        <v>9249.5</v>
      </c>
    </row>
    <row r="1028" spans="1:14" x14ac:dyDescent="0.2">
      <c r="A1028" s="50" t="s">
        <v>182</v>
      </c>
      <c r="B1028" s="61" t="s">
        <v>559</v>
      </c>
      <c r="C1028" s="65" t="s">
        <v>79</v>
      </c>
      <c r="D1028" s="46" t="s">
        <v>70</v>
      </c>
      <c r="E1028" s="26"/>
      <c r="F1028" s="62">
        <f t="shared" ref="F1028:M1029" si="213">F1029</f>
        <v>9249.5</v>
      </c>
      <c r="G1028" s="62">
        <f t="shared" si="213"/>
        <v>0</v>
      </c>
      <c r="H1028" s="49">
        <f t="shared" si="202"/>
        <v>9249.5</v>
      </c>
      <c r="I1028" s="62">
        <f t="shared" si="213"/>
        <v>0</v>
      </c>
      <c r="J1028" s="49">
        <f t="shared" si="209"/>
        <v>9249.5</v>
      </c>
      <c r="K1028" s="62">
        <f t="shared" si="213"/>
        <v>0</v>
      </c>
      <c r="L1028" s="49">
        <f t="shared" si="206"/>
        <v>9249.5</v>
      </c>
      <c r="M1028" s="62">
        <f t="shared" si="213"/>
        <v>0</v>
      </c>
      <c r="N1028" s="49">
        <f t="shared" si="205"/>
        <v>9249.5</v>
      </c>
    </row>
    <row r="1029" spans="1:14" ht="33" x14ac:dyDescent="0.2">
      <c r="A1029" s="50" t="str">
        <f ca="1">IF(ISERROR(MATCH(E1029,Код_КВР,0)),"",INDIRECT(ADDRESS(MATCH(E1029,Код_КВР,0)+1,2,,,"КВР")))</f>
        <v>Закупка товаров, работ и услуг для обеспечения государственных (муниципальных) нужд</v>
      </c>
      <c r="B1029" s="61" t="s">
        <v>559</v>
      </c>
      <c r="C1029" s="65" t="s">
        <v>79</v>
      </c>
      <c r="D1029" s="46" t="s">
        <v>70</v>
      </c>
      <c r="E1029" s="26">
        <v>200</v>
      </c>
      <c r="F1029" s="62">
        <f t="shared" si="213"/>
        <v>9249.5</v>
      </c>
      <c r="G1029" s="62">
        <f t="shared" si="213"/>
        <v>0</v>
      </c>
      <c r="H1029" s="49">
        <f t="shared" si="202"/>
        <v>9249.5</v>
      </c>
      <c r="I1029" s="62">
        <f t="shared" si="213"/>
        <v>0</v>
      </c>
      <c r="J1029" s="49">
        <f t="shared" si="209"/>
        <v>9249.5</v>
      </c>
      <c r="K1029" s="62">
        <f t="shared" si="213"/>
        <v>0</v>
      </c>
      <c r="L1029" s="49">
        <f t="shared" si="206"/>
        <v>9249.5</v>
      </c>
      <c r="M1029" s="62">
        <f t="shared" si="213"/>
        <v>0</v>
      </c>
      <c r="N1029" s="49">
        <f t="shared" si="205"/>
        <v>9249.5</v>
      </c>
    </row>
    <row r="1030" spans="1:14" ht="33" x14ac:dyDescent="0.2">
      <c r="A1030" s="50" t="str">
        <f ca="1">IF(ISERROR(MATCH(E1030,Код_КВР,0)),"",INDIRECT(ADDRESS(MATCH(E1030,Код_КВР,0)+1,2,,,"КВР")))</f>
        <v>Иные закупки товаров, работ и услуг для обеспечения государственных (муниципальных) нужд</v>
      </c>
      <c r="B1030" s="61" t="s">
        <v>559</v>
      </c>
      <c r="C1030" s="65" t="s">
        <v>79</v>
      </c>
      <c r="D1030" s="46" t="s">
        <v>70</v>
      </c>
      <c r="E1030" s="26">
        <v>240</v>
      </c>
      <c r="F1030" s="62">
        <f>'прил. 8'!G1282</f>
        <v>9249.5</v>
      </c>
      <c r="G1030" s="62">
        <f>'прил. 8'!H1282</f>
        <v>0</v>
      </c>
      <c r="H1030" s="49">
        <f t="shared" si="202"/>
        <v>9249.5</v>
      </c>
      <c r="I1030" s="62">
        <f>'прил. 8'!J1282</f>
        <v>0</v>
      </c>
      <c r="J1030" s="49">
        <f t="shared" si="209"/>
        <v>9249.5</v>
      </c>
      <c r="K1030" s="62">
        <f>'прил. 8'!L1282</f>
        <v>0</v>
      </c>
      <c r="L1030" s="49">
        <f t="shared" si="206"/>
        <v>9249.5</v>
      </c>
      <c r="M1030" s="62">
        <f>'прил. 8'!N1282</f>
        <v>0</v>
      </c>
      <c r="N1030" s="49">
        <f t="shared" si="205"/>
        <v>9249.5</v>
      </c>
    </row>
    <row r="1031" spans="1:14" ht="33" x14ac:dyDescent="0.2">
      <c r="A1031" s="50" t="str">
        <f ca="1">IF(ISERROR(MATCH(B1031,Код_КЦСР,0)),"",INDIRECT(ADDRESS(MATCH(B1031,Код_КЦСР,0)+1,2,,,"КЦСР")))</f>
        <v>Осуществление капитального ремонта улично-дорожной сети города, в рамках софинансирования с областным Дорожным фондом</v>
      </c>
      <c r="B1031" s="61" t="s">
        <v>502</v>
      </c>
      <c r="C1031" s="65"/>
      <c r="D1031" s="46"/>
      <c r="E1031" s="26"/>
      <c r="F1031" s="62">
        <f t="shared" ref="F1031:M1034" si="214">F1032</f>
        <v>7278.3</v>
      </c>
      <c r="G1031" s="62">
        <f t="shared" si="214"/>
        <v>0</v>
      </c>
      <c r="H1031" s="49">
        <f t="shared" si="202"/>
        <v>7278.3</v>
      </c>
      <c r="I1031" s="62">
        <f t="shared" si="214"/>
        <v>0</v>
      </c>
      <c r="J1031" s="49">
        <f t="shared" si="209"/>
        <v>7278.3</v>
      </c>
      <c r="K1031" s="62">
        <f t="shared" si="214"/>
        <v>0</v>
      </c>
      <c r="L1031" s="49">
        <f t="shared" si="206"/>
        <v>7278.3</v>
      </c>
      <c r="M1031" s="62">
        <f t="shared" si="214"/>
        <v>0</v>
      </c>
      <c r="N1031" s="49">
        <f t="shared" si="205"/>
        <v>7278.3</v>
      </c>
    </row>
    <row r="1032" spans="1:14" x14ac:dyDescent="0.2">
      <c r="A1032" s="50" t="str">
        <f ca="1">IF(ISERROR(MATCH(C1032,Код_Раздел,0)),"",INDIRECT(ADDRESS(MATCH(C1032,Код_Раздел,0)+1,2,,,"Раздел")))</f>
        <v>Национальная экономика</v>
      </c>
      <c r="B1032" s="61" t="s">
        <v>502</v>
      </c>
      <c r="C1032" s="65" t="s">
        <v>73</v>
      </c>
      <c r="D1032" s="46"/>
      <c r="E1032" s="26"/>
      <c r="F1032" s="62">
        <f t="shared" si="214"/>
        <v>7278.3</v>
      </c>
      <c r="G1032" s="62">
        <f t="shared" si="214"/>
        <v>0</v>
      </c>
      <c r="H1032" s="49">
        <f t="shared" si="202"/>
        <v>7278.3</v>
      </c>
      <c r="I1032" s="62">
        <f t="shared" si="214"/>
        <v>0</v>
      </c>
      <c r="J1032" s="49">
        <f t="shared" si="209"/>
        <v>7278.3</v>
      </c>
      <c r="K1032" s="62">
        <f t="shared" si="214"/>
        <v>0</v>
      </c>
      <c r="L1032" s="49">
        <f t="shared" si="206"/>
        <v>7278.3</v>
      </c>
      <c r="M1032" s="62">
        <f t="shared" si="214"/>
        <v>0</v>
      </c>
      <c r="N1032" s="49">
        <f t="shared" si="205"/>
        <v>7278.3</v>
      </c>
    </row>
    <row r="1033" spans="1:14" x14ac:dyDescent="0.2">
      <c r="A1033" s="51" t="s">
        <v>45</v>
      </c>
      <c r="B1033" s="61" t="s">
        <v>502</v>
      </c>
      <c r="C1033" s="65" t="s">
        <v>73</v>
      </c>
      <c r="D1033" s="46" t="s">
        <v>76</v>
      </c>
      <c r="E1033" s="26"/>
      <c r="F1033" s="62">
        <f t="shared" si="214"/>
        <v>7278.3</v>
      </c>
      <c r="G1033" s="62">
        <f t="shared" si="214"/>
        <v>0</v>
      </c>
      <c r="H1033" s="49">
        <f t="shared" si="202"/>
        <v>7278.3</v>
      </c>
      <c r="I1033" s="62">
        <f t="shared" si="214"/>
        <v>0</v>
      </c>
      <c r="J1033" s="49">
        <f t="shared" si="209"/>
        <v>7278.3</v>
      </c>
      <c r="K1033" s="62">
        <f t="shared" si="214"/>
        <v>0</v>
      </c>
      <c r="L1033" s="49">
        <f t="shared" si="206"/>
        <v>7278.3</v>
      </c>
      <c r="M1033" s="62">
        <f t="shared" si="214"/>
        <v>0</v>
      </c>
      <c r="N1033" s="49">
        <f t="shared" si="205"/>
        <v>7278.3</v>
      </c>
    </row>
    <row r="1034" spans="1:14" ht="33" x14ac:dyDescent="0.2">
      <c r="A1034" s="50" t="str">
        <f ca="1">IF(ISERROR(MATCH(E1034,Код_КВР,0)),"",INDIRECT(ADDRESS(MATCH(E1034,Код_КВР,0)+1,2,,,"КВР")))</f>
        <v>Закупка товаров, работ и услуг для обеспечения государственных (муниципальных) нужд</v>
      </c>
      <c r="B1034" s="61" t="s">
        <v>502</v>
      </c>
      <c r="C1034" s="65" t="s">
        <v>73</v>
      </c>
      <c r="D1034" s="46" t="s">
        <v>76</v>
      </c>
      <c r="E1034" s="26">
        <v>200</v>
      </c>
      <c r="F1034" s="62">
        <f t="shared" si="214"/>
        <v>7278.3</v>
      </c>
      <c r="G1034" s="62">
        <f t="shared" si="214"/>
        <v>0</v>
      </c>
      <c r="H1034" s="49">
        <f t="shared" si="202"/>
        <v>7278.3</v>
      </c>
      <c r="I1034" s="62">
        <f t="shared" si="214"/>
        <v>0</v>
      </c>
      <c r="J1034" s="49">
        <f t="shared" si="209"/>
        <v>7278.3</v>
      </c>
      <c r="K1034" s="62">
        <f t="shared" si="214"/>
        <v>0</v>
      </c>
      <c r="L1034" s="49">
        <f t="shared" si="206"/>
        <v>7278.3</v>
      </c>
      <c r="M1034" s="62">
        <f t="shared" si="214"/>
        <v>0</v>
      </c>
      <c r="N1034" s="49">
        <f t="shared" si="205"/>
        <v>7278.3</v>
      </c>
    </row>
    <row r="1035" spans="1:14" ht="33" x14ac:dyDescent="0.2">
      <c r="A1035" s="50" t="str">
        <f ca="1">IF(ISERROR(MATCH(E1035,Код_КВР,0)),"",INDIRECT(ADDRESS(MATCH(E1035,Код_КВР,0)+1,2,,,"КВР")))</f>
        <v>Иные закупки товаров, работ и услуг для обеспечения государственных (муниципальных) нужд</v>
      </c>
      <c r="B1035" s="61" t="s">
        <v>502</v>
      </c>
      <c r="C1035" s="65" t="s">
        <v>73</v>
      </c>
      <c r="D1035" s="46" t="s">
        <v>76</v>
      </c>
      <c r="E1035" s="26">
        <v>240</v>
      </c>
      <c r="F1035" s="62">
        <f>'прил. 8'!G1153</f>
        <v>7278.3</v>
      </c>
      <c r="G1035" s="62">
        <f>'прил. 8'!H1153</f>
        <v>0</v>
      </c>
      <c r="H1035" s="49">
        <f t="shared" si="202"/>
        <v>7278.3</v>
      </c>
      <c r="I1035" s="62">
        <f>'прил. 8'!J1153</f>
        <v>0</v>
      </c>
      <c r="J1035" s="49">
        <f t="shared" si="209"/>
        <v>7278.3</v>
      </c>
      <c r="K1035" s="62">
        <f>'прил. 8'!L1153</f>
        <v>0</v>
      </c>
      <c r="L1035" s="49">
        <f t="shared" si="206"/>
        <v>7278.3</v>
      </c>
      <c r="M1035" s="62">
        <f>'прил. 8'!N1153</f>
        <v>0</v>
      </c>
      <c r="N1035" s="49">
        <f t="shared" si="205"/>
        <v>7278.3</v>
      </c>
    </row>
    <row r="1036" spans="1:14" ht="49.5" hidden="1" x14ac:dyDescent="0.2">
      <c r="A1036" s="50" t="str">
        <f ca="1">IF(ISERROR(MATCH(B1036,Код_КЦСР,0)),"",INDIRECT(ADDRESS(MATCH(B1036,Код_КЦСР,0)+1,2,,,"КЦСР")))</f>
        <v>Осуществление дорожной деятельности в отношении автомобильных дорог общего пользования местного значения, за счет средств областного бюджета</v>
      </c>
      <c r="B1036" s="61" t="s">
        <v>503</v>
      </c>
      <c r="C1036" s="65"/>
      <c r="D1036" s="46"/>
      <c r="E1036" s="26"/>
      <c r="F1036" s="62">
        <f t="shared" ref="F1036:M1039" si="215">F1037</f>
        <v>0</v>
      </c>
      <c r="G1036" s="62">
        <f t="shared" si="215"/>
        <v>0</v>
      </c>
      <c r="H1036" s="49">
        <f t="shared" si="202"/>
        <v>0</v>
      </c>
      <c r="I1036" s="62">
        <f t="shared" si="215"/>
        <v>0</v>
      </c>
      <c r="J1036" s="49">
        <f t="shared" si="209"/>
        <v>0</v>
      </c>
      <c r="K1036" s="62">
        <f t="shared" si="215"/>
        <v>0</v>
      </c>
      <c r="L1036" s="49">
        <f t="shared" si="206"/>
        <v>0</v>
      </c>
      <c r="M1036" s="62">
        <f t="shared" si="215"/>
        <v>0</v>
      </c>
      <c r="N1036" s="49">
        <f t="shared" si="205"/>
        <v>0</v>
      </c>
    </row>
    <row r="1037" spans="1:14" hidden="1" x14ac:dyDescent="0.2">
      <c r="A1037" s="50" t="str">
        <f ca="1">IF(ISERROR(MATCH(C1037,Код_Раздел,0)),"",INDIRECT(ADDRESS(MATCH(C1037,Код_Раздел,0)+1,2,,,"Раздел")))</f>
        <v>Национальная экономика</v>
      </c>
      <c r="B1037" s="61" t="s">
        <v>503</v>
      </c>
      <c r="C1037" s="65" t="s">
        <v>73</v>
      </c>
      <c r="D1037" s="46"/>
      <c r="E1037" s="26"/>
      <c r="F1037" s="62">
        <f t="shared" si="215"/>
        <v>0</v>
      </c>
      <c r="G1037" s="62">
        <f t="shared" si="215"/>
        <v>0</v>
      </c>
      <c r="H1037" s="49">
        <f t="shared" si="202"/>
        <v>0</v>
      </c>
      <c r="I1037" s="62">
        <f t="shared" si="215"/>
        <v>0</v>
      </c>
      <c r="J1037" s="49">
        <f t="shared" si="209"/>
        <v>0</v>
      </c>
      <c r="K1037" s="62">
        <f t="shared" si="215"/>
        <v>0</v>
      </c>
      <c r="L1037" s="49">
        <f t="shared" si="206"/>
        <v>0</v>
      </c>
      <c r="M1037" s="62">
        <f t="shared" si="215"/>
        <v>0</v>
      </c>
      <c r="N1037" s="49">
        <f t="shared" si="205"/>
        <v>0</v>
      </c>
    </row>
    <row r="1038" spans="1:14" hidden="1" x14ac:dyDescent="0.2">
      <c r="A1038" s="51" t="s">
        <v>45</v>
      </c>
      <c r="B1038" s="61" t="s">
        <v>503</v>
      </c>
      <c r="C1038" s="65" t="s">
        <v>73</v>
      </c>
      <c r="D1038" s="46" t="s">
        <v>76</v>
      </c>
      <c r="E1038" s="26"/>
      <c r="F1038" s="62">
        <f t="shared" si="215"/>
        <v>0</v>
      </c>
      <c r="G1038" s="62">
        <f t="shared" si="215"/>
        <v>0</v>
      </c>
      <c r="H1038" s="49">
        <f t="shared" si="202"/>
        <v>0</v>
      </c>
      <c r="I1038" s="62">
        <f t="shared" si="215"/>
        <v>0</v>
      </c>
      <c r="J1038" s="49">
        <f t="shared" si="209"/>
        <v>0</v>
      </c>
      <c r="K1038" s="62">
        <f t="shared" si="215"/>
        <v>0</v>
      </c>
      <c r="L1038" s="49">
        <f t="shared" si="206"/>
        <v>0</v>
      </c>
      <c r="M1038" s="62">
        <f t="shared" si="215"/>
        <v>0</v>
      </c>
      <c r="N1038" s="49">
        <f t="shared" si="205"/>
        <v>0</v>
      </c>
    </row>
    <row r="1039" spans="1:14" ht="33" hidden="1" x14ac:dyDescent="0.2">
      <c r="A1039" s="50" t="str">
        <f ca="1">IF(ISERROR(MATCH(E1039,Код_КВР,0)),"",INDIRECT(ADDRESS(MATCH(E1039,Код_КВР,0)+1,2,,,"КВР")))</f>
        <v>Закупка товаров, работ и услуг для обеспечения государственных (муниципальных) нужд</v>
      </c>
      <c r="B1039" s="61" t="s">
        <v>503</v>
      </c>
      <c r="C1039" s="65" t="s">
        <v>73</v>
      </c>
      <c r="D1039" s="46" t="s">
        <v>76</v>
      </c>
      <c r="E1039" s="26">
        <v>200</v>
      </c>
      <c r="F1039" s="62">
        <f t="shared" si="215"/>
        <v>0</v>
      </c>
      <c r="G1039" s="62">
        <f t="shared" si="215"/>
        <v>0</v>
      </c>
      <c r="H1039" s="49">
        <f t="shared" si="202"/>
        <v>0</v>
      </c>
      <c r="I1039" s="62">
        <f t="shared" si="215"/>
        <v>0</v>
      </c>
      <c r="J1039" s="49">
        <f t="shared" si="209"/>
        <v>0</v>
      </c>
      <c r="K1039" s="62">
        <f t="shared" si="215"/>
        <v>0</v>
      </c>
      <c r="L1039" s="49">
        <f t="shared" si="206"/>
        <v>0</v>
      </c>
      <c r="M1039" s="62">
        <f t="shared" si="215"/>
        <v>0</v>
      </c>
      <c r="N1039" s="49">
        <f t="shared" si="205"/>
        <v>0</v>
      </c>
    </row>
    <row r="1040" spans="1:14" ht="33" hidden="1" x14ac:dyDescent="0.2">
      <c r="A1040" s="50" t="str">
        <f ca="1">IF(ISERROR(MATCH(E1040,Код_КВР,0)),"",INDIRECT(ADDRESS(MATCH(E1040,Код_КВР,0)+1,2,,,"КВР")))</f>
        <v>Иные закупки товаров, работ и услуг для обеспечения государственных (муниципальных) нужд</v>
      </c>
      <c r="B1040" s="61" t="s">
        <v>503</v>
      </c>
      <c r="C1040" s="65" t="s">
        <v>73</v>
      </c>
      <c r="D1040" s="46" t="s">
        <v>76</v>
      </c>
      <c r="E1040" s="26">
        <v>240</v>
      </c>
      <c r="F1040" s="62">
        <f>'прил. 8'!G1156</f>
        <v>0</v>
      </c>
      <c r="G1040" s="62">
        <f>'прил. 8'!H1156</f>
        <v>0</v>
      </c>
      <c r="H1040" s="49">
        <f t="shared" si="202"/>
        <v>0</v>
      </c>
      <c r="I1040" s="62">
        <f>'прил. 8'!J1156</f>
        <v>0</v>
      </c>
      <c r="J1040" s="49">
        <f t="shared" si="209"/>
        <v>0</v>
      </c>
      <c r="K1040" s="62">
        <f>'прил. 8'!L1156</f>
        <v>0</v>
      </c>
      <c r="L1040" s="49">
        <f t="shared" si="206"/>
        <v>0</v>
      </c>
      <c r="M1040" s="62">
        <f>'прил. 8'!N1156</f>
        <v>0</v>
      </c>
      <c r="N1040" s="49">
        <f t="shared" si="205"/>
        <v>0</v>
      </c>
    </row>
    <row r="1041" spans="1:14" ht="51" customHeight="1" x14ac:dyDescent="0.2">
      <c r="A1041" s="50" t="str">
        <f ca="1">IF(ISERROR(MATCH(B1041,Код_КЦСР,0)),"",INDIRECT(ADDRESS(MATCH(B1041,Код_КЦСР,0)+1,2,,,"КЦСР")))</f>
        <v>Капитальный ремонт объектов социальной и коммунальной инфраструктуры муниципальной собственности, за счет средств областного бюджета</v>
      </c>
      <c r="B1041" s="61" t="s">
        <v>702</v>
      </c>
      <c r="C1041" s="65"/>
      <c r="D1041" s="46"/>
      <c r="E1041" s="26"/>
      <c r="F1041" s="62"/>
      <c r="G1041" s="62"/>
      <c r="H1041" s="49"/>
      <c r="I1041" s="62"/>
      <c r="J1041" s="49"/>
      <c r="K1041" s="62">
        <f>K1042</f>
        <v>14127.9</v>
      </c>
      <c r="L1041" s="49">
        <f t="shared" si="206"/>
        <v>14127.9</v>
      </c>
      <c r="M1041" s="62">
        <f>M1042</f>
        <v>0</v>
      </c>
      <c r="N1041" s="49">
        <f t="shared" si="205"/>
        <v>14127.9</v>
      </c>
    </row>
    <row r="1042" spans="1:14" x14ac:dyDescent="0.2">
      <c r="A1042" s="50" t="str">
        <f ca="1">IF(ISERROR(MATCH(C1042,Код_Раздел,0)),"",INDIRECT(ADDRESS(MATCH(C1042,Код_Раздел,0)+1,2,,,"Раздел")))</f>
        <v>Образование</v>
      </c>
      <c r="B1042" s="61" t="s">
        <v>702</v>
      </c>
      <c r="C1042" s="65" t="s">
        <v>60</v>
      </c>
      <c r="D1042" s="46"/>
      <c r="E1042" s="26"/>
      <c r="F1042" s="62"/>
      <c r="G1042" s="62"/>
      <c r="H1042" s="49"/>
      <c r="I1042" s="62"/>
      <c r="J1042" s="49"/>
      <c r="K1042" s="62">
        <f>K1043</f>
        <v>14127.9</v>
      </c>
      <c r="L1042" s="49">
        <f t="shared" si="206"/>
        <v>14127.9</v>
      </c>
      <c r="M1042" s="62">
        <f>M1043</f>
        <v>0</v>
      </c>
      <c r="N1042" s="49">
        <f t="shared" ref="N1042:N1105" si="216">L1042+M1042</f>
        <v>14127.9</v>
      </c>
    </row>
    <row r="1043" spans="1:14" x14ac:dyDescent="0.2">
      <c r="A1043" s="45" t="s">
        <v>102</v>
      </c>
      <c r="B1043" s="61" t="s">
        <v>702</v>
      </c>
      <c r="C1043" s="65" t="s">
        <v>60</v>
      </c>
      <c r="D1043" s="46" t="s">
        <v>71</v>
      </c>
      <c r="E1043" s="26"/>
      <c r="F1043" s="62"/>
      <c r="G1043" s="62"/>
      <c r="H1043" s="49"/>
      <c r="I1043" s="62"/>
      <c r="J1043" s="49"/>
      <c r="K1043" s="62">
        <f>K1044</f>
        <v>14127.9</v>
      </c>
      <c r="L1043" s="49">
        <f t="shared" si="206"/>
        <v>14127.9</v>
      </c>
      <c r="M1043" s="62">
        <f>M1044</f>
        <v>0</v>
      </c>
      <c r="N1043" s="49">
        <f t="shared" si="216"/>
        <v>14127.9</v>
      </c>
    </row>
    <row r="1044" spans="1:14" ht="33" x14ac:dyDescent="0.2">
      <c r="A1044" s="50" t="str">
        <f ca="1">IF(ISERROR(MATCH(E1044,Код_КВР,0)),"",INDIRECT(ADDRESS(MATCH(E1044,Код_КВР,0)+1,2,,,"КВР")))</f>
        <v>Закупка товаров, работ и услуг для обеспечения государственных (муниципальных) нужд</v>
      </c>
      <c r="B1044" s="61" t="s">
        <v>702</v>
      </c>
      <c r="C1044" s="65" t="s">
        <v>60</v>
      </c>
      <c r="D1044" s="46" t="s">
        <v>71</v>
      </c>
      <c r="E1044" s="26">
        <v>200</v>
      </c>
      <c r="F1044" s="62"/>
      <c r="G1044" s="62"/>
      <c r="H1044" s="49"/>
      <c r="I1044" s="62"/>
      <c r="J1044" s="49"/>
      <c r="K1044" s="62">
        <f>K1045</f>
        <v>14127.9</v>
      </c>
      <c r="L1044" s="49">
        <f t="shared" si="206"/>
        <v>14127.9</v>
      </c>
      <c r="M1044" s="62">
        <f>M1045</f>
        <v>0</v>
      </c>
      <c r="N1044" s="49">
        <f t="shared" si="216"/>
        <v>14127.9</v>
      </c>
    </row>
    <row r="1045" spans="1:14" ht="33" x14ac:dyDescent="0.2">
      <c r="A1045" s="50" t="str">
        <f ca="1">IF(ISERROR(MATCH(E1045,Код_КВР,0)),"",INDIRECT(ADDRESS(MATCH(E1045,Код_КВР,0)+1,2,,,"КВР")))</f>
        <v>Иные закупки товаров, работ и услуг для обеспечения государственных (муниципальных) нужд</v>
      </c>
      <c r="B1045" s="61" t="s">
        <v>702</v>
      </c>
      <c r="C1045" s="65" t="s">
        <v>60</v>
      </c>
      <c r="D1045" s="46" t="s">
        <v>71</v>
      </c>
      <c r="E1045" s="26">
        <v>240</v>
      </c>
      <c r="F1045" s="62"/>
      <c r="G1045" s="62"/>
      <c r="H1045" s="49"/>
      <c r="I1045" s="62"/>
      <c r="J1045" s="49"/>
      <c r="K1045" s="62">
        <f>'прил. 8'!L1252</f>
        <v>14127.9</v>
      </c>
      <c r="L1045" s="49">
        <f t="shared" si="206"/>
        <v>14127.9</v>
      </c>
      <c r="M1045" s="62">
        <f>'прил. 8'!N1252</f>
        <v>0</v>
      </c>
      <c r="N1045" s="49">
        <f t="shared" si="216"/>
        <v>14127.9</v>
      </c>
    </row>
    <row r="1046" spans="1:14" ht="47.25" customHeight="1" x14ac:dyDescent="0.2">
      <c r="A1046" s="50" t="str">
        <f ca="1">IF(ISERROR(MATCH(B1046,Код_КЦСР,0)),"",INDIRECT(ADDRESS(MATCH(B1046,Код_КЦСР,0)+1,2,,,"КЦСР")))</f>
        <v>Капитальный ремонт объектов социальной и коммунальной инфраструктуры муниципальной собственности, в рамках софинансирования</v>
      </c>
      <c r="B1046" s="61" t="s">
        <v>704</v>
      </c>
      <c r="C1046" s="65"/>
      <c r="D1046" s="46"/>
      <c r="E1046" s="26"/>
      <c r="F1046" s="62"/>
      <c r="G1046" s="62"/>
      <c r="H1046" s="49"/>
      <c r="I1046" s="62"/>
      <c r="J1046" s="49"/>
      <c r="K1046" s="62">
        <f>K1047</f>
        <v>14176.5</v>
      </c>
      <c r="L1046" s="49">
        <f t="shared" si="206"/>
        <v>14176.5</v>
      </c>
      <c r="M1046" s="62">
        <f>M1047</f>
        <v>3.6</v>
      </c>
      <c r="N1046" s="49">
        <f t="shared" si="216"/>
        <v>14180.1</v>
      </c>
    </row>
    <row r="1047" spans="1:14" x14ac:dyDescent="0.2">
      <c r="A1047" s="50" t="str">
        <f ca="1">IF(ISERROR(MATCH(C1047,Код_Раздел,0)),"",INDIRECT(ADDRESS(MATCH(C1047,Код_Раздел,0)+1,2,,,"Раздел")))</f>
        <v>Образование</v>
      </c>
      <c r="B1047" s="61" t="s">
        <v>704</v>
      </c>
      <c r="C1047" s="65" t="s">
        <v>60</v>
      </c>
      <c r="D1047" s="46"/>
      <c r="E1047" s="26"/>
      <c r="F1047" s="62"/>
      <c r="G1047" s="62"/>
      <c r="H1047" s="49"/>
      <c r="I1047" s="62"/>
      <c r="J1047" s="49"/>
      <c r="K1047" s="62">
        <f>K1048</f>
        <v>14176.5</v>
      </c>
      <c r="L1047" s="49">
        <f t="shared" si="206"/>
        <v>14176.5</v>
      </c>
      <c r="M1047" s="62">
        <f>M1048</f>
        <v>3.6</v>
      </c>
      <c r="N1047" s="49">
        <f t="shared" si="216"/>
        <v>14180.1</v>
      </c>
    </row>
    <row r="1048" spans="1:14" x14ac:dyDescent="0.2">
      <c r="A1048" s="45" t="s">
        <v>102</v>
      </c>
      <c r="B1048" s="61" t="s">
        <v>704</v>
      </c>
      <c r="C1048" s="65" t="s">
        <v>60</v>
      </c>
      <c r="D1048" s="46" t="s">
        <v>71</v>
      </c>
      <c r="E1048" s="26"/>
      <c r="F1048" s="62"/>
      <c r="G1048" s="62"/>
      <c r="H1048" s="49"/>
      <c r="I1048" s="62"/>
      <c r="J1048" s="49"/>
      <c r="K1048" s="62">
        <f>K1049</f>
        <v>14176.5</v>
      </c>
      <c r="L1048" s="49">
        <f t="shared" si="206"/>
        <v>14176.5</v>
      </c>
      <c r="M1048" s="62">
        <f>M1049</f>
        <v>3.6</v>
      </c>
      <c r="N1048" s="49">
        <f t="shared" si="216"/>
        <v>14180.1</v>
      </c>
    </row>
    <row r="1049" spans="1:14" ht="33" x14ac:dyDescent="0.2">
      <c r="A1049" s="50" t="str">
        <f ca="1">IF(ISERROR(MATCH(E1049,Код_КВР,0)),"",INDIRECT(ADDRESS(MATCH(E1049,Код_КВР,0)+1,2,,,"КВР")))</f>
        <v>Закупка товаров, работ и услуг для обеспечения государственных (муниципальных) нужд</v>
      </c>
      <c r="B1049" s="61" t="s">
        <v>704</v>
      </c>
      <c r="C1049" s="65" t="s">
        <v>60</v>
      </c>
      <c r="D1049" s="46" t="s">
        <v>71</v>
      </c>
      <c r="E1049" s="26">
        <v>200</v>
      </c>
      <c r="F1049" s="62"/>
      <c r="G1049" s="62"/>
      <c r="H1049" s="49"/>
      <c r="I1049" s="62"/>
      <c r="J1049" s="49"/>
      <c r="K1049" s="62">
        <f>K1050</f>
        <v>14176.5</v>
      </c>
      <c r="L1049" s="49">
        <f t="shared" si="206"/>
        <v>14176.5</v>
      </c>
      <c r="M1049" s="62">
        <f>M1050</f>
        <v>3.6</v>
      </c>
      <c r="N1049" s="49">
        <f t="shared" si="216"/>
        <v>14180.1</v>
      </c>
    </row>
    <row r="1050" spans="1:14" ht="33" x14ac:dyDescent="0.2">
      <c r="A1050" s="50" t="str">
        <f ca="1">IF(ISERROR(MATCH(E1050,Код_КВР,0)),"",INDIRECT(ADDRESS(MATCH(E1050,Код_КВР,0)+1,2,,,"КВР")))</f>
        <v>Иные закупки товаров, работ и услуг для обеспечения государственных (муниципальных) нужд</v>
      </c>
      <c r="B1050" s="61" t="s">
        <v>704</v>
      </c>
      <c r="C1050" s="65" t="s">
        <v>60</v>
      </c>
      <c r="D1050" s="46" t="s">
        <v>71</v>
      </c>
      <c r="E1050" s="26">
        <v>240</v>
      </c>
      <c r="F1050" s="62"/>
      <c r="G1050" s="62"/>
      <c r="H1050" s="49"/>
      <c r="I1050" s="62"/>
      <c r="J1050" s="49"/>
      <c r="K1050" s="62">
        <f>'прил. 8'!L1255</f>
        <v>14176.5</v>
      </c>
      <c r="L1050" s="49">
        <f t="shared" si="206"/>
        <v>14176.5</v>
      </c>
      <c r="M1050" s="62">
        <f>'прил. 8'!N1255</f>
        <v>3.6</v>
      </c>
      <c r="N1050" s="49">
        <f t="shared" si="216"/>
        <v>14180.1</v>
      </c>
    </row>
    <row r="1051" spans="1:14" x14ac:dyDescent="0.2">
      <c r="A1051" s="50" t="str">
        <f ca="1">IF(ISERROR(MATCH(B1051,Код_КЦСР,0)),"",INDIRECT(ADDRESS(MATCH(B1051,Код_КЦСР,0)+1,2,,,"КЦСР")))</f>
        <v>Обеспечение создания условий для реализации муниципальной программы</v>
      </c>
      <c r="B1051" s="61" t="s">
        <v>367</v>
      </c>
      <c r="C1051" s="65"/>
      <c r="D1051" s="46"/>
      <c r="E1051" s="26"/>
      <c r="F1051" s="62">
        <f>F1052+F1060</f>
        <v>51074.799999999996</v>
      </c>
      <c r="G1051" s="62">
        <f>G1052+G1060</f>
        <v>0</v>
      </c>
      <c r="H1051" s="49">
        <f t="shared" si="202"/>
        <v>51074.799999999996</v>
      </c>
      <c r="I1051" s="62">
        <f>I1052+I1060</f>
        <v>0</v>
      </c>
      <c r="J1051" s="49">
        <f t="shared" si="209"/>
        <v>51074.799999999996</v>
      </c>
      <c r="K1051" s="62">
        <f>K1052+K1060</f>
        <v>0</v>
      </c>
      <c r="L1051" s="49">
        <f t="shared" si="206"/>
        <v>51074.799999999996</v>
      </c>
      <c r="M1051" s="62">
        <f>M1052+M1060</f>
        <v>0</v>
      </c>
      <c r="N1051" s="49">
        <f t="shared" si="216"/>
        <v>51074.799999999996</v>
      </c>
    </row>
    <row r="1052" spans="1:14" x14ac:dyDescent="0.2">
      <c r="A1052" s="50" t="str">
        <f ca="1">IF(ISERROR(MATCH(C1052,Код_Раздел,0)),"",INDIRECT(ADDRESS(MATCH(C1052,Код_Раздел,0)+1,2,,,"Раздел")))</f>
        <v>Национальная экономика</v>
      </c>
      <c r="B1052" s="61" t="s">
        <v>367</v>
      </c>
      <c r="C1052" s="65" t="s">
        <v>73</v>
      </c>
      <c r="D1052" s="46"/>
      <c r="E1052" s="26"/>
      <c r="F1052" s="62">
        <f>F1053</f>
        <v>51021.299999999996</v>
      </c>
      <c r="G1052" s="62">
        <f>G1053</f>
        <v>0</v>
      </c>
      <c r="H1052" s="49">
        <f t="shared" si="202"/>
        <v>51021.299999999996</v>
      </c>
      <c r="I1052" s="62">
        <f>I1053</f>
        <v>0</v>
      </c>
      <c r="J1052" s="49">
        <f t="shared" si="209"/>
        <v>51021.299999999996</v>
      </c>
      <c r="K1052" s="62">
        <f>K1053</f>
        <v>0</v>
      </c>
      <c r="L1052" s="49">
        <f t="shared" si="206"/>
        <v>51021.299999999996</v>
      </c>
      <c r="M1052" s="62">
        <f>M1053</f>
        <v>0</v>
      </c>
      <c r="N1052" s="49">
        <f t="shared" si="216"/>
        <v>51021.299999999996</v>
      </c>
    </row>
    <row r="1053" spans="1:14" x14ac:dyDescent="0.2">
      <c r="A1053" s="45" t="s">
        <v>80</v>
      </c>
      <c r="B1053" s="61" t="s">
        <v>367</v>
      </c>
      <c r="C1053" s="65" t="s">
        <v>73</v>
      </c>
      <c r="D1053" s="65" t="s">
        <v>61</v>
      </c>
      <c r="E1053" s="26"/>
      <c r="F1053" s="62">
        <f>F1054+F1056+F1058</f>
        <v>51021.299999999996</v>
      </c>
      <c r="G1053" s="62">
        <f>G1054+G1056+G1058</f>
        <v>0</v>
      </c>
      <c r="H1053" s="49">
        <f t="shared" ref="H1053:H1116" si="217">F1053+G1053</f>
        <v>51021.299999999996</v>
      </c>
      <c r="I1053" s="62">
        <f>I1054+I1056+I1058</f>
        <v>0</v>
      </c>
      <c r="J1053" s="49">
        <f t="shared" si="209"/>
        <v>51021.299999999996</v>
      </c>
      <c r="K1053" s="62">
        <f>K1054+K1056+K1058</f>
        <v>0</v>
      </c>
      <c r="L1053" s="49">
        <f t="shared" si="206"/>
        <v>51021.299999999996</v>
      </c>
      <c r="M1053" s="62">
        <f>M1054+M1056+M1058</f>
        <v>0</v>
      </c>
      <c r="N1053" s="49">
        <f t="shared" si="216"/>
        <v>51021.299999999996</v>
      </c>
    </row>
    <row r="1054" spans="1:14" ht="49.5" x14ac:dyDescent="0.2">
      <c r="A1054" s="50" t="str">
        <f t="shared" ref="A1054:A1059" ca="1" si="218">IF(ISERROR(MATCH(E1054,Код_КВР,0)),"",INDIRECT(ADDRESS(MATCH(E1054,Код_КВР,0)+1,2,,,"КВР")))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54" s="61" t="s">
        <v>367</v>
      </c>
      <c r="C1054" s="65" t="s">
        <v>73</v>
      </c>
      <c r="D1054" s="65" t="s">
        <v>61</v>
      </c>
      <c r="E1054" s="26">
        <v>100</v>
      </c>
      <c r="F1054" s="62">
        <f>F1055</f>
        <v>47262</v>
      </c>
      <c r="G1054" s="62">
        <f>G1055</f>
        <v>0</v>
      </c>
      <c r="H1054" s="49">
        <f t="shared" si="217"/>
        <v>47262</v>
      </c>
      <c r="I1054" s="62">
        <f>I1055</f>
        <v>0</v>
      </c>
      <c r="J1054" s="49">
        <f t="shared" si="209"/>
        <v>47262</v>
      </c>
      <c r="K1054" s="62">
        <f>K1055</f>
        <v>0</v>
      </c>
      <c r="L1054" s="49">
        <f t="shared" si="206"/>
        <v>47262</v>
      </c>
      <c r="M1054" s="62">
        <f>M1055</f>
        <v>0</v>
      </c>
      <c r="N1054" s="49">
        <f t="shared" si="216"/>
        <v>47262</v>
      </c>
    </row>
    <row r="1055" spans="1:14" x14ac:dyDescent="0.2">
      <c r="A1055" s="50" t="str">
        <f t="shared" ca="1" si="218"/>
        <v>Расходы на выплаты персоналу казенных учреждений</v>
      </c>
      <c r="B1055" s="61" t="s">
        <v>367</v>
      </c>
      <c r="C1055" s="65" t="s">
        <v>73</v>
      </c>
      <c r="D1055" s="65" t="s">
        <v>61</v>
      </c>
      <c r="E1055" s="26">
        <v>110</v>
      </c>
      <c r="F1055" s="62">
        <f>'прил. 8'!G1186</f>
        <v>47262</v>
      </c>
      <c r="G1055" s="62">
        <f>'прил. 8'!H1186</f>
        <v>0</v>
      </c>
      <c r="H1055" s="49">
        <f t="shared" si="217"/>
        <v>47262</v>
      </c>
      <c r="I1055" s="62">
        <f>'прил. 8'!J1186</f>
        <v>0</v>
      </c>
      <c r="J1055" s="49">
        <f t="shared" si="209"/>
        <v>47262</v>
      </c>
      <c r="K1055" s="62">
        <f>'прил. 8'!L1186</f>
        <v>0</v>
      </c>
      <c r="L1055" s="49">
        <f t="shared" si="206"/>
        <v>47262</v>
      </c>
      <c r="M1055" s="62">
        <f>'прил. 8'!N1186</f>
        <v>0</v>
      </c>
      <c r="N1055" s="49">
        <f t="shared" si="216"/>
        <v>47262</v>
      </c>
    </row>
    <row r="1056" spans="1:14" ht="33" x14ac:dyDescent="0.2">
      <c r="A1056" s="50" t="str">
        <f t="shared" ca="1" si="218"/>
        <v>Закупка товаров, работ и услуг для обеспечения государственных (муниципальных) нужд</v>
      </c>
      <c r="B1056" s="61" t="s">
        <v>367</v>
      </c>
      <c r="C1056" s="65" t="s">
        <v>73</v>
      </c>
      <c r="D1056" s="65" t="s">
        <v>61</v>
      </c>
      <c r="E1056" s="26">
        <v>200</v>
      </c>
      <c r="F1056" s="62">
        <f>F1057</f>
        <v>3521.7</v>
      </c>
      <c r="G1056" s="62">
        <f>G1057</f>
        <v>0</v>
      </c>
      <c r="H1056" s="49">
        <f t="shared" si="217"/>
        <v>3521.7</v>
      </c>
      <c r="I1056" s="62">
        <f>I1057</f>
        <v>0</v>
      </c>
      <c r="J1056" s="49">
        <f t="shared" si="209"/>
        <v>3521.7</v>
      </c>
      <c r="K1056" s="62">
        <f>K1057</f>
        <v>0</v>
      </c>
      <c r="L1056" s="49">
        <f t="shared" si="206"/>
        <v>3521.7</v>
      </c>
      <c r="M1056" s="62">
        <f>M1057</f>
        <v>0</v>
      </c>
      <c r="N1056" s="49">
        <f t="shared" si="216"/>
        <v>3521.7</v>
      </c>
    </row>
    <row r="1057" spans="1:14" ht="33" x14ac:dyDescent="0.2">
      <c r="A1057" s="50" t="str">
        <f t="shared" ca="1" si="218"/>
        <v>Иные закупки товаров, работ и услуг для обеспечения государственных (муниципальных) нужд</v>
      </c>
      <c r="B1057" s="61" t="s">
        <v>367</v>
      </c>
      <c r="C1057" s="65" t="s">
        <v>73</v>
      </c>
      <c r="D1057" s="65" t="s">
        <v>61</v>
      </c>
      <c r="E1057" s="26">
        <v>240</v>
      </c>
      <c r="F1057" s="62">
        <f>'прил. 8'!G1188</f>
        <v>3521.7</v>
      </c>
      <c r="G1057" s="62">
        <f>'прил. 8'!H1188</f>
        <v>0</v>
      </c>
      <c r="H1057" s="49">
        <f t="shared" si="217"/>
        <v>3521.7</v>
      </c>
      <c r="I1057" s="62">
        <f>'прил. 8'!J1188</f>
        <v>0</v>
      </c>
      <c r="J1057" s="49">
        <f t="shared" si="209"/>
        <v>3521.7</v>
      </c>
      <c r="K1057" s="62">
        <f>'прил. 8'!L1188</f>
        <v>0</v>
      </c>
      <c r="L1057" s="49">
        <f t="shared" si="206"/>
        <v>3521.7</v>
      </c>
      <c r="M1057" s="62">
        <f>'прил. 8'!N1188</f>
        <v>0</v>
      </c>
      <c r="N1057" s="49">
        <f t="shared" si="216"/>
        <v>3521.7</v>
      </c>
    </row>
    <row r="1058" spans="1:14" x14ac:dyDescent="0.2">
      <c r="A1058" s="50" t="str">
        <f t="shared" ca="1" si="218"/>
        <v>Иные бюджетные ассигнования</v>
      </c>
      <c r="B1058" s="61" t="s">
        <v>367</v>
      </c>
      <c r="C1058" s="65" t="s">
        <v>73</v>
      </c>
      <c r="D1058" s="65" t="s">
        <v>61</v>
      </c>
      <c r="E1058" s="26">
        <v>800</v>
      </c>
      <c r="F1058" s="62">
        <f>F1059</f>
        <v>237.6</v>
      </c>
      <c r="G1058" s="62">
        <f>G1059</f>
        <v>0</v>
      </c>
      <c r="H1058" s="49">
        <f t="shared" si="217"/>
        <v>237.6</v>
      </c>
      <c r="I1058" s="62">
        <f>I1059</f>
        <v>0</v>
      </c>
      <c r="J1058" s="49">
        <f t="shared" si="209"/>
        <v>237.6</v>
      </c>
      <c r="K1058" s="62">
        <f>K1059</f>
        <v>0</v>
      </c>
      <c r="L1058" s="49">
        <f t="shared" si="206"/>
        <v>237.6</v>
      </c>
      <c r="M1058" s="62">
        <f>M1059</f>
        <v>0</v>
      </c>
      <c r="N1058" s="49">
        <f t="shared" si="216"/>
        <v>237.6</v>
      </c>
    </row>
    <row r="1059" spans="1:14" x14ac:dyDescent="0.2">
      <c r="A1059" s="50" t="str">
        <f t="shared" ca="1" si="218"/>
        <v>Уплата налогов, сборов и иных платежей</v>
      </c>
      <c r="B1059" s="61" t="s">
        <v>367</v>
      </c>
      <c r="C1059" s="65" t="s">
        <v>73</v>
      </c>
      <c r="D1059" s="65" t="s">
        <v>61</v>
      </c>
      <c r="E1059" s="26">
        <v>850</v>
      </c>
      <c r="F1059" s="62">
        <f>'прил. 8'!G1190</f>
        <v>237.6</v>
      </c>
      <c r="G1059" s="62">
        <f>'прил. 8'!H1190</f>
        <v>0</v>
      </c>
      <c r="H1059" s="49">
        <f t="shared" si="217"/>
        <v>237.6</v>
      </c>
      <c r="I1059" s="62">
        <f>'прил. 8'!J1190</f>
        <v>0</v>
      </c>
      <c r="J1059" s="49">
        <f t="shared" si="209"/>
        <v>237.6</v>
      </c>
      <c r="K1059" s="62">
        <f>'прил. 8'!L1190</f>
        <v>0</v>
      </c>
      <c r="L1059" s="49">
        <f t="shared" si="206"/>
        <v>237.6</v>
      </c>
      <c r="M1059" s="62">
        <f>'прил. 8'!N1190</f>
        <v>0</v>
      </c>
      <c r="N1059" s="49">
        <f t="shared" si="216"/>
        <v>237.6</v>
      </c>
    </row>
    <row r="1060" spans="1:14" x14ac:dyDescent="0.2">
      <c r="A1060" s="50" t="str">
        <f ca="1">IF(ISERROR(MATCH(C1060,Код_Раздел,0)),"",INDIRECT(ADDRESS(MATCH(C1060,Код_Раздел,0)+1,2,,,"Раздел")))</f>
        <v>Образование</v>
      </c>
      <c r="B1060" s="61" t="s">
        <v>367</v>
      </c>
      <c r="C1060" s="65" t="s">
        <v>60</v>
      </c>
      <c r="D1060" s="46"/>
      <c r="E1060" s="26"/>
      <c r="F1060" s="62">
        <f t="shared" ref="F1060:M1062" si="219">F1061</f>
        <v>53.5</v>
      </c>
      <c r="G1060" s="62">
        <f t="shared" si="219"/>
        <v>0</v>
      </c>
      <c r="H1060" s="49">
        <f t="shared" si="217"/>
        <v>53.5</v>
      </c>
      <c r="I1060" s="62">
        <f t="shared" si="219"/>
        <v>0</v>
      </c>
      <c r="J1060" s="49">
        <f t="shared" si="209"/>
        <v>53.5</v>
      </c>
      <c r="K1060" s="62">
        <f t="shared" si="219"/>
        <v>0</v>
      </c>
      <c r="L1060" s="49">
        <f t="shared" si="206"/>
        <v>53.5</v>
      </c>
      <c r="M1060" s="62">
        <f t="shared" si="219"/>
        <v>0</v>
      </c>
      <c r="N1060" s="49">
        <f t="shared" si="216"/>
        <v>53.5</v>
      </c>
    </row>
    <row r="1061" spans="1:14" x14ac:dyDescent="0.2">
      <c r="A1061" s="45" t="s">
        <v>532</v>
      </c>
      <c r="B1061" s="61" t="s">
        <v>367</v>
      </c>
      <c r="C1061" s="65" t="s">
        <v>60</v>
      </c>
      <c r="D1061" s="46" t="s">
        <v>78</v>
      </c>
      <c r="E1061" s="26"/>
      <c r="F1061" s="62">
        <f t="shared" si="219"/>
        <v>53.5</v>
      </c>
      <c r="G1061" s="62">
        <f t="shared" si="219"/>
        <v>0</v>
      </c>
      <c r="H1061" s="49">
        <f t="shared" si="217"/>
        <v>53.5</v>
      </c>
      <c r="I1061" s="62">
        <f t="shared" si="219"/>
        <v>0</v>
      </c>
      <c r="J1061" s="49">
        <f t="shared" si="209"/>
        <v>53.5</v>
      </c>
      <c r="K1061" s="62">
        <f t="shared" si="219"/>
        <v>0</v>
      </c>
      <c r="L1061" s="49">
        <f t="shared" si="206"/>
        <v>53.5</v>
      </c>
      <c r="M1061" s="62">
        <f t="shared" si="219"/>
        <v>0</v>
      </c>
      <c r="N1061" s="49">
        <f t="shared" si="216"/>
        <v>53.5</v>
      </c>
    </row>
    <row r="1062" spans="1:14" ht="33" x14ac:dyDescent="0.2">
      <c r="A1062" s="50" t="str">
        <f ca="1">IF(ISERROR(MATCH(E1062,Код_КВР,0)),"",INDIRECT(ADDRESS(MATCH(E1062,Код_КВР,0)+1,2,,,"КВР")))</f>
        <v>Закупка товаров, работ и услуг для обеспечения государственных (муниципальных) нужд</v>
      </c>
      <c r="B1062" s="61" t="s">
        <v>367</v>
      </c>
      <c r="C1062" s="65" t="s">
        <v>60</v>
      </c>
      <c r="D1062" s="46" t="s">
        <v>78</v>
      </c>
      <c r="E1062" s="26">
        <v>200</v>
      </c>
      <c r="F1062" s="62">
        <f t="shared" si="219"/>
        <v>53.5</v>
      </c>
      <c r="G1062" s="62">
        <f t="shared" si="219"/>
        <v>0</v>
      </c>
      <c r="H1062" s="49">
        <f t="shared" si="217"/>
        <v>53.5</v>
      </c>
      <c r="I1062" s="62">
        <f t="shared" si="219"/>
        <v>0</v>
      </c>
      <c r="J1062" s="49">
        <f t="shared" si="209"/>
        <v>53.5</v>
      </c>
      <c r="K1062" s="62">
        <f t="shared" si="219"/>
        <v>0</v>
      </c>
      <c r="L1062" s="49">
        <f t="shared" si="206"/>
        <v>53.5</v>
      </c>
      <c r="M1062" s="62">
        <f t="shared" si="219"/>
        <v>0</v>
      </c>
      <c r="N1062" s="49">
        <f t="shared" si="216"/>
        <v>53.5</v>
      </c>
    </row>
    <row r="1063" spans="1:14" ht="37.5" customHeight="1" x14ac:dyDescent="0.2">
      <c r="A1063" s="50" t="str">
        <f ca="1">IF(ISERROR(MATCH(E1063,Код_КВР,0)),"",INDIRECT(ADDRESS(MATCH(E1063,Код_КВР,0)+1,2,,,"КВР")))</f>
        <v>Иные закупки товаров, работ и услуг для обеспечения государственных (муниципальных) нужд</v>
      </c>
      <c r="B1063" s="61" t="s">
        <v>367</v>
      </c>
      <c r="C1063" s="65" t="s">
        <v>60</v>
      </c>
      <c r="D1063" s="46" t="s">
        <v>78</v>
      </c>
      <c r="E1063" s="26">
        <v>240</v>
      </c>
      <c r="F1063" s="62">
        <f>'прил. 8'!G1271</f>
        <v>53.5</v>
      </c>
      <c r="G1063" s="62">
        <f>'прил. 8'!H1271</f>
        <v>0</v>
      </c>
      <c r="H1063" s="49">
        <f t="shared" si="217"/>
        <v>53.5</v>
      </c>
      <c r="I1063" s="62">
        <f>'прил. 8'!J1271</f>
        <v>0</v>
      </c>
      <c r="J1063" s="49">
        <f t="shared" si="209"/>
        <v>53.5</v>
      </c>
      <c r="K1063" s="62">
        <f>'прил. 8'!L1271</f>
        <v>0</v>
      </c>
      <c r="L1063" s="49">
        <f t="shared" si="206"/>
        <v>53.5</v>
      </c>
      <c r="M1063" s="62">
        <f>'прил. 8'!N1271</f>
        <v>0</v>
      </c>
      <c r="N1063" s="49">
        <f t="shared" si="216"/>
        <v>53.5</v>
      </c>
    </row>
    <row r="1064" spans="1:14" ht="40.5" customHeight="1" x14ac:dyDescent="0.2">
      <c r="A1064" s="50" t="str">
        <f ca="1">IF(ISERROR(MATCH(B1064,Код_КЦСР,0)),"",INDIRECT(ADDRESS(MATCH(B1064,Код_КЦСР,0)+1,2,,,"КЦСР")))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1064" s="79" t="s">
        <v>369</v>
      </c>
      <c r="C1064" s="65"/>
      <c r="D1064" s="46"/>
      <c r="E1064" s="26"/>
      <c r="F1064" s="62">
        <f>F1065+F1078+F1087+F1151+F1168</f>
        <v>52770.5</v>
      </c>
      <c r="G1064" s="62">
        <f>G1065+G1078+G1087+G1151+G1168</f>
        <v>0</v>
      </c>
      <c r="H1064" s="49">
        <f t="shared" si="217"/>
        <v>52770.5</v>
      </c>
      <c r="I1064" s="62">
        <f>I1065+I1078+I1087+I1151+I1168</f>
        <v>0</v>
      </c>
      <c r="J1064" s="49">
        <f t="shared" si="209"/>
        <v>52770.5</v>
      </c>
      <c r="K1064" s="62">
        <f>K1065+K1078+K1087+K1151+K1168</f>
        <v>61.8</v>
      </c>
      <c r="L1064" s="49">
        <f t="shared" ref="L1064:L1127" si="220">J1064+K1064</f>
        <v>52832.3</v>
      </c>
      <c r="M1064" s="62">
        <f>M1065+M1078+M1087+M1151+M1168</f>
        <v>0</v>
      </c>
      <c r="N1064" s="49">
        <f t="shared" si="216"/>
        <v>52832.3</v>
      </c>
    </row>
    <row r="1065" spans="1:14" ht="49.5" x14ac:dyDescent="0.2">
      <c r="A1065" s="50" t="str">
        <f ca="1">IF(ISERROR(MATCH(B1065,Код_КЦСР,0)),"",INDIRECT(ADDRESS(MATCH(B1065,Код_КЦСР,0)+1,2,,,"КЦСР")))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v>
      </c>
      <c r="B1065" s="79" t="s">
        <v>454</v>
      </c>
      <c r="C1065" s="65"/>
      <c r="D1065" s="46"/>
      <c r="E1065" s="26"/>
      <c r="F1065" s="62">
        <f>F1066+F1074</f>
        <v>23312.399999999998</v>
      </c>
      <c r="G1065" s="62">
        <f>G1066+G1074</f>
        <v>0</v>
      </c>
      <c r="H1065" s="49">
        <f t="shared" si="217"/>
        <v>23312.399999999998</v>
      </c>
      <c r="I1065" s="62">
        <f>I1066+I1074</f>
        <v>0</v>
      </c>
      <c r="J1065" s="49">
        <f t="shared" si="209"/>
        <v>23312.399999999998</v>
      </c>
      <c r="K1065" s="62">
        <f>K1066+K1074</f>
        <v>61.8</v>
      </c>
      <c r="L1065" s="49">
        <f t="shared" si="220"/>
        <v>23374.199999999997</v>
      </c>
      <c r="M1065" s="62">
        <f>M1066+M1074</f>
        <v>0</v>
      </c>
      <c r="N1065" s="49">
        <f t="shared" si="216"/>
        <v>23374.199999999997</v>
      </c>
    </row>
    <row r="1066" spans="1:14" x14ac:dyDescent="0.2">
      <c r="A1066" s="50" t="str">
        <f ca="1">IF(ISERROR(MATCH(C1066,Код_Раздел,0)),"",INDIRECT(ADDRESS(MATCH(C1066,Код_Раздел,0)+1,2,,,"Раздел")))</f>
        <v>Национальная безопасность и правоохранительная  деятельность</v>
      </c>
      <c r="B1066" s="79" t="s">
        <v>454</v>
      </c>
      <c r="C1066" s="65" t="s">
        <v>72</v>
      </c>
      <c r="D1066" s="46"/>
      <c r="E1066" s="26"/>
      <c r="F1066" s="62">
        <f>F1067</f>
        <v>23296.6</v>
      </c>
      <c r="G1066" s="62">
        <f>G1067</f>
        <v>0</v>
      </c>
      <c r="H1066" s="49">
        <f t="shared" si="217"/>
        <v>23296.6</v>
      </c>
      <c r="I1066" s="62">
        <f>I1067</f>
        <v>0</v>
      </c>
      <c r="J1066" s="49">
        <f t="shared" si="209"/>
        <v>23296.6</v>
      </c>
      <c r="K1066" s="62">
        <f>K1067</f>
        <v>61.8</v>
      </c>
      <c r="L1066" s="49">
        <f t="shared" si="220"/>
        <v>23358.399999999998</v>
      </c>
      <c r="M1066" s="62">
        <f>M1067</f>
        <v>0</v>
      </c>
      <c r="N1066" s="49">
        <f t="shared" si="216"/>
        <v>23358.399999999998</v>
      </c>
    </row>
    <row r="1067" spans="1:14" ht="33" x14ac:dyDescent="0.2">
      <c r="A1067" s="50" t="s">
        <v>111</v>
      </c>
      <c r="B1067" s="79" t="s">
        <v>454</v>
      </c>
      <c r="C1067" s="65" t="s">
        <v>72</v>
      </c>
      <c r="D1067" s="46" t="s">
        <v>76</v>
      </c>
      <c r="E1067" s="26"/>
      <c r="F1067" s="62">
        <f>F1068+F1070+F1072</f>
        <v>23296.6</v>
      </c>
      <c r="G1067" s="62">
        <f>G1068+G1070+G1072</f>
        <v>0</v>
      </c>
      <c r="H1067" s="49">
        <f t="shared" si="217"/>
        <v>23296.6</v>
      </c>
      <c r="I1067" s="62">
        <f>I1068+I1070+I1072</f>
        <v>0</v>
      </c>
      <c r="J1067" s="49">
        <f t="shared" si="209"/>
        <v>23296.6</v>
      </c>
      <c r="K1067" s="62">
        <f>K1068+K1070+K1072</f>
        <v>61.8</v>
      </c>
      <c r="L1067" s="49">
        <f t="shared" si="220"/>
        <v>23358.399999999998</v>
      </c>
      <c r="M1067" s="62">
        <f>M1068+M1070+M1072</f>
        <v>0</v>
      </c>
      <c r="N1067" s="49">
        <f t="shared" si="216"/>
        <v>23358.399999999998</v>
      </c>
    </row>
    <row r="1068" spans="1:14" ht="49.5" x14ac:dyDescent="0.2">
      <c r="A1068" s="50" t="str">
        <f t="shared" ref="A1068:A1073" ca="1" si="221">IF(ISERROR(MATCH(E1068,Код_КВР,0)),"",INDIRECT(ADDRESS(MATCH(E1068,Код_КВР,0)+1,2,,,"КВР")))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68" s="79" t="s">
        <v>454</v>
      </c>
      <c r="C1068" s="65" t="s">
        <v>72</v>
      </c>
      <c r="D1068" s="46" t="s">
        <v>76</v>
      </c>
      <c r="E1068" s="26">
        <v>100</v>
      </c>
      <c r="F1068" s="62">
        <f>F1069</f>
        <v>20095.5</v>
      </c>
      <c r="G1068" s="62">
        <f>G1069</f>
        <v>0</v>
      </c>
      <c r="H1068" s="49">
        <f t="shared" si="217"/>
        <v>20095.5</v>
      </c>
      <c r="I1068" s="62">
        <f>I1069</f>
        <v>0</v>
      </c>
      <c r="J1068" s="49">
        <f t="shared" si="209"/>
        <v>20095.5</v>
      </c>
      <c r="K1068" s="62">
        <f>K1069</f>
        <v>0</v>
      </c>
      <c r="L1068" s="49">
        <f t="shared" si="220"/>
        <v>20095.5</v>
      </c>
      <c r="M1068" s="62">
        <f>M1069</f>
        <v>0</v>
      </c>
      <c r="N1068" s="49">
        <f t="shared" si="216"/>
        <v>20095.5</v>
      </c>
    </row>
    <row r="1069" spans="1:14" x14ac:dyDescent="0.2">
      <c r="A1069" s="50" t="str">
        <f ca="1">IF(ISERROR(MATCH(E1069,Код_КВР,0)),"",INDIRECT(ADDRESS(MATCH(E1069,Код_КВР,0)+1,2,,,"КВР")))</f>
        <v>Расходы на выплаты персоналу казенных учреждений</v>
      </c>
      <c r="B1069" s="79" t="s">
        <v>454</v>
      </c>
      <c r="C1069" s="65" t="s">
        <v>72</v>
      </c>
      <c r="D1069" s="46" t="s">
        <v>76</v>
      </c>
      <c r="E1069" s="26">
        <v>110</v>
      </c>
      <c r="F1069" s="62">
        <f>'прил. 8'!G146</f>
        <v>20095.5</v>
      </c>
      <c r="G1069" s="62">
        <f>'прил. 8'!H146</f>
        <v>0</v>
      </c>
      <c r="H1069" s="49">
        <f t="shared" si="217"/>
        <v>20095.5</v>
      </c>
      <c r="I1069" s="62">
        <f>'прил. 8'!J146</f>
        <v>0</v>
      </c>
      <c r="J1069" s="49">
        <f t="shared" si="209"/>
        <v>20095.5</v>
      </c>
      <c r="K1069" s="62">
        <f>'прил. 8'!L146</f>
        <v>0</v>
      </c>
      <c r="L1069" s="49">
        <f t="shared" si="220"/>
        <v>20095.5</v>
      </c>
      <c r="M1069" s="62">
        <f>'прил. 8'!N146</f>
        <v>0</v>
      </c>
      <c r="N1069" s="49">
        <f t="shared" si="216"/>
        <v>20095.5</v>
      </c>
    </row>
    <row r="1070" spans="1:14" ht="33" x14ac:dyDescent="0.2">
      <c r="A1070" s="50" t="str">
        <f t="shared" ca="1" si="221"/>
        <v>Закупка товаров, работ и услуг для обеспечения государственных (муниципальных) нужд</v>
      </c>
      <c r="B1070" s="79" t="s">
        <v>454</v>
      </c>
      <c r="C1070" s="65" t="s">
        <v>72</v>
      </c>
      <c r="D1070" s="46" t="s">
        <v>76</v>
      </c>
      <c r="E1070" s="26">
        <v>200</v>
      </c>
      <c r="F1070" s="62">
        <f>F1071</f>
        <v>2844</v>
      </c>
      <c r="G1070" s="62">
        <f>G1071</f>
        <v>0</v>
      </c>
      <c r="H1070" s="49">
        <f t="shared" si="217"/>
        <v>2844</v>
      </c>
      <c r="I1070" s="62">
        <f>I1071</f>
        <v>0</v>
      </c>
      <c r="J1070" s="49">
        <f t="shared" si="209"/>
        <v>2844</v>
      </c>
      <c r="K1070" s="62">
        <f>K1071</f>
        <v>61.8</v>
      </c>
      <c r="L1070" s="49">
        <f t="shared" si="220"/>
        <v>2905.8</v>
      </c>
      <c r="M1070" s="62">
        <f>M1071</f>
        <v>0</v>
      </c>
      <c r="N1070" s="49">
        <f t="shared" si="216"/>
        <v>2905.8</v>
      </c>
    </row>
    <row r="1071" spans="1:14" ht="33" x14ac:dyDescent="0.2">
      <c r="A1071" s="50" t="str">
        <f t="shared" ca="1" si="221"/>
        <v>Иные закупки товаров, работ и услуг для обеспечения государственных (муниципальных) нужд</v>
      </c>
      <c r="B1071" s="79" t="s">
        <v>454</v>
      </c>
      <c r="C1071" s="65" t="s">
        <v>72</v>
      </c>
      <c r="D1071" s="46" t="s">
        <v>76</v>
      </c>
      <c r="E1071" s="26">
        <v>240</v>
      </c>
      <c r="F1071" s="62">
        <f>'прил. 8'!G148</f>
        <v>2844</v>
      </c>
      <c r="G1071" s="62">
        <f>'прил. 8'!H148</f>
        <v>0</v>
      </c>
      <c r="H1071" s="49">
        <f t="shared" si="217"/>
        <v>2844</v>
      </c>
      <c r="I1071" s="62">
        <f>'прил. 8'!J148</f>
        <v>0</v>
      </c>
      <c r="J1071" s="49">
        <f t="shared" si="209"/>
        <v>2844</v>
      </c>
      <c r="K1071" s="62">
        <f>'прил. 8'!L148</f>
        <v>61.8</v>
      </c>
      <c r="L1071" s="49">
        <f t="shared" si="220"/>
        <v>2905.8</v>
      </c>
      <c r="M1071" s="62">
        <f>'прил. 8'!N148</f>
        <v>0</v>
      </c>
      <c r="N1071" s="49">
        <f t="shared" si="216"/>
        <v>2905.8</v>
      </c>
    </row>
    <row r="1072" spans="1:14" x14ac:dyDescent="0.2">
      <c r="A1072" s="50" t="str">
        <f t="shared" ca="1" si="221"/>
        <v>Иные бюджетные ассигнования</v>
      </c>
      <c r="B1072" s="79" t="s">
        <v>454</v>
      </c>
      <c r="C1072" s="65" t="s">
        <v>72</v>
      </c>
      <c r="D1072" s="46" t="s">
        <v>76</v>
      </c>
      <c r="E1072" s="26">
        <v>800</v>
      </c>
      <c r="F1072" s="62">
        <f>F1073</f>
        <v>357.1</v>
      </c>
      <c r="G1072" s="62">
        <f>G1073</f>
        <v>0</v>
      </c>
      <c r="H1072" s="49">
        <f t="shared" si="217"/>
        <v>357.1</v>
      </c>
      <c r="I1072" s="62">
        <f>I1073</f>
        <v>0</v>
      </c>
      <c r="J1072" s="49">
        <f t="shared" si="209"/>
        <v>357.1</v>
      </c>
      <c r="K1072" s="62">
        <f>K1073</f>
        <v>0</v>
      </c>
      <c r="L1072" s="49">
        <f t="shared" si="220"/>
        <v>357.1</v>
      </c>
      <c r="M1072" s="62">
        <f>M1073</f>
        <v>0</v>
      </c>
      <c r="N1072" s="49">
        <f t="shared" si="216"/>
        <v>357.1</v>
      </c>
    </row>
    <row r="1073" spans="1:14" x14ac:dyDescent="0.2">
      <c r="A1073" s="50" t="str">
        <f t="shared" ca="1" si="221"/>
        <v>Уплата налогов, сборов и иных платежей</v>
      </c>
      <c r="B1073" s="79" t="s">
        <v>454</v>
      </c>
      <c r="C1073" s="65" t="s">
        <v>72</v>
      </c>
      <c r="D1073" s="46" t="s">
        <v>76</v>
      </c>
      <c r="E1073" s="26">
        <v>850</v>
      </c>
      <c r="F1073" s="62">
        <f>'прил. 8'!G150</f>
        <v>357.1</v>
      </c>
      <c r="G1073" s="62">
        <f>'прил. 8'!H150</f>
        <v>0</v>
      </c>
      <c r="H1073" s="49">
        <f t="shared" si="217"/>
        <v>357.1</v>
      </c>
      <c r="I1073" s="62">
        <f>'прил. 8'!J150</f>
        <v>0</v>
      </c>
      <c r="J1073" s="49">
        <f t="shared" si="209"/>
        <v>357.1</v>
      </c>
      <c r="K1073" s="62">
        <f>'прил. 8'!L150</f>
        <v>0</v>
      </c>
      <c r="L1073" s="49">
        <f t="shared" si="220"/>
        <v>357.1</v>
      </c>
      <c r="M1073" s="62">
        <f>'прил. 8'!N150</f>
        <v>0</v>
      </c>
      <c r="N1073" s="49">
        <f t="shared" si="216"/>
        <v>357.1</v>
      </c>
    </row>
    <row r="1074" spans="1:14" x14ac:dyDescent="0.2">
      <c r="A1074" s="50" t="str">
        <f ca="1">IF(ISERROR(MATCH(C1074,Код_Раздел,0)),"",INDIRECT(ADDRESS(MATCH(C1074,Код_Раздел,0)+1,2,,,"Раздел")))</f>
        <v>Образование</v>
      </c>
      <c r="B1074" s="79" t="s">
        <v>454</v>
      </c>
      <c r="C1074" s="65" t="s">
        <v>60</v>
      </c>
      <c r="D1074" s="46"/>
      <c r="E1074" s="26"/>
      <c r="F1074" s="62">
        <f t="shared" ref="F1074:M1076" si="222">F1075</f>
        <v>15.8</v>
      </c>
      <c r="G1074" s="62">
        <f t="shared" si="222"/>
        <v>0</v>
      </c>
      <c r="H1074" s="49">
        <f t="shared" si="217"/>
        <v>15.8</v>
      </c>
      <c r="I1074" s="62">
        <f t="shared" si="222"/>
        <v>0</v>
      </c>
      <c r="J1074" s="49">
        <f t="shared" si="209"/>
        <v>15.8</v>
      </c>
      <c r="K1074" s="62">
        <f t="shared" si="222"/>
        <v>0</v>
      </c>
      <c r="L1074" s="49">
        <f t="shared" si="220"/>
        <v>15.8</v>
      </c>
      <c r="M1074" s="62">
        <f t="shared" si="222"/>
        <v>0</v>
      </c>
      <c r="N1074" s="49">
        <f t="shared" si="216"/>
        <v>15.8</v>
      </c>
    </row>
    <row r="1075" spans="1:14" x14ac:dyDescent="0.2">
      <c r="A1075" s="45" t="s">
        <v>532</v>
      </c>
      <c r="B1075" s="79" t="s">
        <v>454</v>
      </c>
      <c r="C1075" s="65" t="s">
        <v>60</v>
      </c>
      <c r="D1075" s="46" t="s">
        <v>78</v>
      </c>
      <c r="E1075" s="26"/>
      <c r="F1075" s="62">
        <f t="shared" si="222"/>
        <v>15.8</v>
      </c>
      <c r="G1075" s="62">
        <f t="shared" si="222"/>
        <v>0</v>
      </c>
      <c r="H1075" s="49">
        <f t="shared" si="217"/>
        <v>15.8</v>
      </c>
      <c r="I1075" s="62">
        <f t="shared" si="222"/>
        <v>0</v>
      </c>
      <c r="J1075" s="49">
        <f t="shared" si="209"/>
        <v>15.8</v>
      </c>
      <c r="K1075" s="62">
        <f t="shared" si="222"/>
        <v>0</v>
      </c>
      <c r="L1075" s="49">
        <f t="shared" si="220"/>
        <v>15.8</v>
      </c>
      <c r="M1075" s="62">
        <f t="shared" si="222"/>
        <v>0</v>
      </c>
      <c r="N1075" s="49">
        <f t="shared" si="216"/>
        <v>15.8</v>
      </c>
    </row>
    <row r="1076" spans="1:14" ht="33" x14ac:dyDescent="0.2">
      <c r="A1076" s="50" t="str">
        <f t="shared" ref="A1076" ca="1" si="223">IF(ISERROR(MATCH(E1076,Код_КВР,0)),"",INDIRECT(ADDRESS(MATCH(E1076,Код_КВР,0)+1,2,,,"КВР")))</f>
        <v>Закупка товаров, работ и услуг для обеспечения государственных (муниципальных) нужд</v>
      </c>
      <c r="B1076" s="79" t="s">
        <v>454</v>
      </c>
      <c r="C1076" s="65" t="s">
        <v>60</v>
      </c>
      <c r="D1076" s="46" t="s">
        <v>78</v>
      </c>
      <c r="E1076" s="26">
        <v>200</v>
      </c>
      <c r="F1076" s="62">
        <f t="shared" si="222"/>
        <v>15.8</v>
      </c>
      <c r="G1076" s="62">
        <f t="shared" si="222"/>
        <v>0</v>
      </c>
      <c r="H1076" s="49">
        <f t="shared" si="217"/>
        <v>15.8</v>
      </c>
      <c r="I1076" s="62">
        <f t="shared" si="222"/>
        <v>0</v>
      </c>
      <c r="J1076" s="49">
        <f t="shared" si="209"/>
        <v>15.8</v>
      </c>
      <c r="K1076" s="62">
        <f t="shared" si="222"/>
        <v>0</v>
      </c>
      <c r="L1076" s="49">
        <f t="shared" si="220"/>
        <v>15.8</v>
      </c>
      <c r="M1076" s="62">
        <f t="shared" si="222"/>
        <v>0</v>
      </c>
      <c r="N1076" s="49">
        <f t="shared" si="216"/>
        <v>15.8</v>
      </c>
    </row>
    <row r="1077" spans="1:14" ht="33" x14ac:dyDescent="0.2">
      <c r="A1077" s="50" t="str">
        <f ca="1">IF(ISERROR(MATCH(E1077,Код_КВР,0)),"",INDIRECT(ADDRESS(MATCH(E1077,Код_КВР,0)+1,2,,,"КВР")))</f>
        <v>Иные закупки товаров, работ и услуг для обеспечения государственных (муниципальных) нужд</v>
      </c>
      <c r="B1077" s="79" t="s">
        <v>454</v>
      </c>
      <c r="C1077" s="65" t="s">
        <v>60</v>
      </c>
      <c r="D1077" s="46" t="s">
        <v>78</v>
      </c>
      <c r="E1077" s="26">
        <v>240</v>
      </c>
      <c r="F1077" s="62">
        <f>'прил. 8'!G303</f>
        <v>15.8</v>
      </c>
      <c r="G1077" s="62">
        <f>'прил. 8'!H303</f>
        <v>0</v>
      </c>
      <c r="H1077" s="49">
        <f t="shared" si="217"/>
        <v>15.8</v>
      </c>
      <c r="I1077" s="62">
        <f>'прил. 8'!J303</f>
        <v>0</v>
      </c>
      <c r="J1077" s="49">
        <f t="shared" si="209"/>
        <v>15.8</v>
      </c>
      <c r="K1077" s="62">
        <f>'прил. 8'!L303</f>
        <v>0</v>
      </c>
      <c r="L1077" s="49">
        <f t="shared" si="220"/>
        <v>15.8</v>
      </c>
      <c r="M1077" s="62">
        <f>'прил. 8'!N303</f>
        <v>0</v>
      </c>
      <c r="N1077" s="49">
        <f t="shared" si="216"/>
        <v>15.8</v>
      </c>
    </row>
    <row r="1078" spans="1:14" ht="49.5" x14ac:dyDescent="0.2">
      <c r="A1078" s="50" t="str">
        <f ca="1">IF(ISERROR(MATCH(B1078,Код_КЦСР,0)),"",INDIRECT(ADDRESS(MATCH(B1078,Код_КЦСР,0)+1,2,,,"КЦСР")))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v>
      </c>
      <c r="B1078" s="79" t="s">
        <v>456</v>
      </c>
      <c r="C1078" s="65"/>
      <c r="D1078" s="46"/>
      <c r="E1078" s="26"/>
      <c r="F1078" s="62">
        <f>F1079+F1083</f>
        <v>22064.600000000002</v>
      </c>
      <c r="G1078" s="62">
        <f>G1079+G1083</f>
        <v>0</v>
      </c>
      <c r="H1078" s="49">
        <f t="shared" si="217"/>
        <v>22064.600000000002</v>
      </c>
      <c r="I1078" s="62">
        <f>I1079+I1083</f>
        <v>0</v>
      </c>
      <c r="J1078" s="49">
        <f t="shared" si="209"/>
        <v>22064.600000000002</v>
      </c>
      <c r="K1078" s="62">
        <f>K1079+K1083</f>
        <v>0</v>
      </c>
      <c r="L1078" s="49">
        <f t="shared" si="220"/>
        <v>22064.600000000002</v>
      </c>
      <c r="M1078" s="62">
        <f>M1079+M1083</f>
        <v>0</v>
      </c>
      <c r="N1078" s="49">
        <f t="shared" si="216"/>
        <v>22064.600000000002</v>
      </c>
    </row>
    <row r="1079" spans="1:14" x14ac:dyDescent="0.2">
      <c r="A1079" s="50" t="str">
        <f ca="1">IF(ISERROR(MATCH(C1079,Код_Раздел,0)),"",INDIRECT(ADDRESS(MATCH(C1079,Код_Раздел,0)+1,2,,,"Раздел")))</f>
        <v>Национальная безопасность и правоохранительная  деятельность</v>
      </c>
      <c r="B1079" s="79" t="s">
        <v>456</v>
      </c>
      <c r="C1079" s="65" t="s">
        <v>72</v>
      </c>
      <c r="D1079" s="46"/>
      <c r="E1079" s="26"/>
      <c r="F1079" s="62">
        <f t="shared" ref="F1079:M1081" si="224">F1080</f>
        <v>22050.9</v>
      </c>
      <c r="G1079" s="62">
        <f t="shared" si="224"/>
        <v>0</v>
      </c>
      <c r="H1079" s="49">
        <f t="shared" si="217"/>
        <v>22050.9</v>
      </c>
      <c r="I1079" s="62">
        <f t="shared" si="224"/>
        <v>0</v>
      </c>
      <c r="J1079" s="49">
        <f t="shared" si="209"/>
        <v>22050.9</v>
      </c>
      <c r="K1079" s="62">
        <f t="shared" si="224"/>
        <v>0</v>
      </c>
      <c r="L1079" s="49">
        <f t="shared" si="220"/>
        <v>22050.9</v>
      </c>
      <c r="M1079" s="62">
        <f t="shared" si="224"/>
        <v>0</v>
      </c>
      <c r="N1079" s="49">
        <f t="shared" si="216"/>
        <v>22050.9</v>
      </c>
    </row>
    <row r="1080" spans="1:14" ht="33" x14ac:dyDescent="0.2">
      <c r="A1080" s="50" t="s">
        <v>111</v>
      </c>
      <c r="B1080" s="79" t="s">
        <v>456</v>
      </c>
      <c r="C1080" s="65" t="s">
        <v>72</v>
      </c>
      <c r="D1080" s="46" t="s">
        <v>76</v>
      </c>
      <c r="E1080" s="26"/>
      <c r="F1080" s="62">
        <f t="shared" si="224"/>
        <v>22050.9</v>
      </c>
      <c r="G1080" s="62">
        <f t="shared" si="224"/>
        <v>0</v>
      </c>
      <c r="H1080" s="49">
        <f t="shared" si="217"/>
        <v>22050.9</v>
      </c>
      <c r="I1080" s="62">
        <f t="shared" si="224"/>
        <v>0</v>
      </c>
      <c r="J1080" s="49">
        <f t="shared" si="209"/>
        <v>22050.9</v>
      </c>
      <c r="K1080" s="62">
        <f t="shared" si="224"/>
        <v>0</v>
      </c>
      <c r="L1080" s="49">
        <f t="shared" si="220"/>
        <v>22050.9</v>
      </c>
      <c r="M1080" s="62">
        <f t="shared" si="224"/>
        <v>0</v>
      </c>
      <c r="N1080" s="49">
        <f t="shared" si="216"/>
        <v>22050.9</v>
      </c>
    </row>
    <row r="1081" spans="1:14" ht="33" x14ac:dyDescent="0.2">
      <c r="A1081" s="50" t="str">
        <f t="shared" ref="A1081" ca="1" si="225">IF(ISERROR(MATCH(E1081,Код_КВР,0)),"",INDIRECT(ADDRESS(MATCH(E1081,Код_КВР,0)+1,2,,,"КВР")))</f>
        <v>Предоставление субсидий бюджетным, автономным учреждениям и иным некоммерческим организациям</v>
      </c>
      <c r="B1081" s="79" t="s">
        <v>456</v>
      </c>
      <c r="C1081" s="65" t="s">
        <v>72</v>
      </c>
      <c r="D1081" s="46" t="s">
        <v>76</v>
      </c>
      <c r="E1081" s="26">
        <v>600</v>
      </c>
      <c r="F1081" s="62">
        <f t="shared" si="224"/>
        <v>22050.9</v>
      </c>
      <c r="G1081" s="62">
        <f t="shared" si="224"/>
        <v>0</v>
      </c>
      <c r="H1081" s="49">
        <f t="shared" si="217"/>
        <v>22050.9</v>
      </c>
      <c r="I1081" s="62">
        <f t="shared" si="224"/>
        <v>0</v>
      </c>
      <c r="J1081" s="49">
        <f t="shared" si="209"/>
        <v>22050.9</v>
      </c>
      <c r="K1081" s="62">
        <f t="shared" si="224"/>
        <v>0</v>
      </c>
      <c r="L1081" s="49">
        <f t="shared" si="220"/>
        <v>22050.9</v>
      </c>
      <c r="M1081" s="62">
        <f t="shared" si="224"/>
        <v>0</v>
      </c>
      <c r="N1081" s="49">
        <f t="shared" si="216"/>
        <v>22050.9</v>
      </c>
    </row>
    <row r="1082" spans="1:14" x14ac:dyDescent="0.2">
      <c r="A1082" s="50" t="str">
        <f ca="1">IF(ISERROR(MATCH(E1082,Код_КВР,0)),"",INDIRECT(ADDRESS(MATCH(E1082,Код_КВР,0)+1,2,,,"КВР")))</f>
        <v>Субсидии бюджетным учреждениям</v>
      </c>
      <c r="B1082" s="79" t="s">
        <v>456</v>
      </c>
      <c r="C1082" s="65" t="s">
        <v>72</v>
      </c>
      <c r="D1082" s="46" t="s">
        <v>76</v>
      </c>
      <c r="E1082" s="26">
        <v>610</v>
      </c>
      <c r="F1082" s="62">
        <f>'прил. 8'!G153</f>
        <v>22050.9</v>
      </c>
      <c r="G1082" s="62">
        <f>'прил. 8'!H153</f>
        <v>0</v>
      </c>
      <c r="H1082" s="49">
        <f t="shared" si="217"/>
        <v>22050.9</v>
      </c>
      <c r="I1082" s="62">
        <f>'прил. 8'!J153</f>
        <v>0</v>
      </c>
      <c r="J1082" s="49">
        <f t="shared" si="209"/>
        <v>22050.9</v>
      </c>
      <c r="K1082" s="62">
        <f>'прил. 8'!L153</f>
        <v>0</v>
      </c>
      <c r="L1082" s="49">
        <f t="shared" si="220"/>
        <v>22050.9</v>
      </c>
      <c r="M1082" s="62">
        <f>'прил. 8'!N153</f>
        <v>0</v>
      </c>
      <c r="N1082" s="49">
        <f t="shared" si="216"/>
        <v>22050.9</v>
      </c>
    </row>
    <row r="1083" spans="1:14" x14ac:dyDescent="0.2">
      <c r="A1083" s="50" t="str">
        <f ca="1">IF(ISERROR(MATCH(C1083,Код_Раздел,0)),"",INDIRECT(ADDRESS(MATCH(C1083,Код_Раздел,0)+1,2,,,"Раздел")))</f>
        <v>Образование</v>
      </c>
      <c r="B1083" s="79" t="s">
        <v>456</v>
      </c>
      <c r="C1083" s="65" t="s">
        <v>60</v>
      </c>
      <c r="D1083" s="46"/>
      <c r="E1083" s="26"/>
      <c r="F1083" s="62">
        <f t="shared" ref="F1083:M1085" si="226">F1084</f>
        <v>13.7</v>
      </c>
      <c r="G1083" s="62">
        <f t="shared" si="226"/>
        <v>0</v>
      </c>
      <c r="H1083" s="49">
        <f t="shared" si="217"/>
        <v>13.7</v>
      </c>
      <c r="I1083" s="62">
        <f t="shared" si="226"/>
        <v>0</v>
      </c>
      <c r="J1083" s="49">
        <f t="shared" si="209"/>
        <v>13.7</v>
      </c>
      <c r="K1083" s="62">
        <f t="shared" si="226"/>
        <v>0</v>
      </c>
      <c r="L1083" s="49">
        <f t="shared" si="220"/>
        <v>13.7</v>
      </c>
      <c r="M1083" s="62">
        <f t="shared" si="226"/>
        <v>0</v>
      </c>
      <c r="N1083" s="49">
        <f t="shared" si="216"/>
        <v>13.7</v>
      </c>
    </row>
    <row r="1084" spans="1:14" x14ac:dyDescent="0.2">
      <c r="A1084" s="45" t="s">
        <v>532</v>
      </c>
      <c r="B1084" s="79" t="s">
        <v>456</v>
      </c>
      <c r="C1084" s="65" t="s">
        <v>60</v>
      </c>
      <c r="D1084" s="46" t="s">
        <v>78</v>
      </c>
      <c r="E1084" s="26"/>
      <c r="F1084" s="62">
        <f t="shared" si="226"/>
        <v>13.7</v>
      </c>
      <c r="G1084" s="62">
        <f t="shared" si="226"/>
        <v>0</v>
      </c>
      <c r="H1084" s="49">
        <f t="shared" si="217"/>
        <v>13.7</v>
      </c>
      <c r="I1084" s="62">
        <f t="shared" si="226"/>
        <v>0</v>
      </c>
      <c r="J1084" s="49">
        <f t="shared" si="209"/>
        <v>13.7</v>
      </c>
      <c r="K1084" s="62">
        <f t="shared" si="226"/>
        <v>0</v>
      </c>
      <c r="L1084" s="49">
        <f t="shared" si="220"/>
        <v>13.7</v>
      </c>
      <c r="M1084" s="62">
        <f t="shared" si="226"/>
        <v>0</v>
      </c>
      <c r="N1084" s="49">
        <f t="shared" si="216"/>
        <v>13.7</v>
      </c>
    </row>
    <row r="1085" spans="1:14" ht="33" x14ac:dyDescent="0.2">
      <c r="A1085" s="50" t="str">
        <f t="shared" ref="A1085" ca="1" si="227">IF(ISERROR(MATCH(E1085,Код_КВР,0)),"",INDIRECT(ADDRESS(MATCH(E1085,Код_КВР,0)+1,2,,,"КВР")))</f>
        <v>Предоставление субсидий бюджетным, автономным учреждениям и иным некоммерческим организациям</v>
      </c>
      <c r="B1085" s="79" t="s">
        <v>456</v>
      </c>
      <c r="C1085" s="65" t="s">
        <v>60</v>
      </c>
      <c r="D1085" s="46" t="s">
        <v>78</v>
      </c>
      <c r="E1085" s="26">
        <v>600</v>
      </c>
      <c r="F1085" s="62">
        <f t="shared" si="226"/>
        <v>13.7</v>
      </c>
      <c r="G1085" s="62">
        <f t="shared" si="226"/>
        <v>0</v>
      </c>
      <c r="H1085" s="49">
        <f t="shared" si="217"/>
        <v>13.7</v>
      </c>
      <c r="I1085" s="62">
        <f t="shared" si="226"/>
        <v>0</v>
      </c>
      <c r="J1085" s="49">
        <f t="shared" ref="J1085:J1148" si="228">H1085+I1085</f>
        <v>13.7</v>
      </c>
      <c r="K1085" s="62">
        <f t="shared" si="226"/>
        <v>0</v>
      </c>
      <c r="L1085" s="49">
        <f t="shared" si="220"/>
        <v>13.7</v>
      </c>
      <c r="M1085" s="62">
        <f t="shared" si="226"/>
        <v>0</v>
      </c>
      <c r="N1085" s="49">
        <f t="shared" si="216"/>
        <v>13.7</v>
      </c>
    </row>
    <row r="1086" spans="1:14" x14ac:dyDescent="0.2">
      <c r="A1086" s="50" t="str">
        <f ca="1">IF(ISERROR(MATCH(E1086,Код_КВР,0)),"",INDIRECT(ADDRESS(MATCH(E1086,Код_КВР,0)+1,2,,,"КВР")))</f>
        <v>Субсидии бюджетным учреждениям</v>
      </c>
      <c r="B1086" s="79" t="s">
        <v>456</v>
      </c>
      <c r="C1086" s="65" t="s">
        <v>60</v>
      </c>
      <c r="D1086" s="46" t="s">
        <v>78</v>
      </c>
      <c r="E1086" s="26">
        <v>610</v>
      </c>
      <c r="F1086" s="62">
        <f>'прил. 8'!G306</f>
        <v>13.7</v>
      </c>
      <c r="G1086" s="62">
        <f>'прил. 8'!H306</f>
        <v>0</v>
      </c>
      <c r="H1086" s="49">
        <f t="shared" si="217"/>
        <v>13.7</v>
      </c>
      <c r="I1086" s="62">
        <f>'прил. 8'!J306</f>
        <v>0</v>
      </c>
      <c r="J1086" s="49">
        <f t="shared" si="228"/>
        <v>13.7</v>
      </c>
      <c r="K1086" s="62">
        <f>'прил. 8'!L306</f>
        <v>0</v>
      </c>
      <c r="L1086" s="49">
        <f t="shared" si="220"/>
        <v>13.7</v>
      </c>
      <c r="M1086" s="62">
        <f>'прил. 8'!N306</f>
        <v>0</v>
      </c>
      <c r="N1086" s="49">
        <f t="shared" si="216"/>
        <v>13.7</v>
      </c>
    </row>
    <row r="1087" spans="1:14" x14ac:dyDescent="0.2">
      <c r="A1087" s="50" t="str">
        <f ca="1">IF(ISERROR(MATCH(B1087,Код_КЦСР,0)),"",INDIRECT(ADDRESS(MATCH(B1087,Код_КЦСР,0)+1,2,,,"КЦСР")))</f>
        <v>Обеспечение пожарной безопасности муниципальных учреждений города</v>
      </c>
      <c r="B1087" s="79" t="s">
        <v>370</v>
      </c>
      <c r="C1087" s="65"/>
      <c r="D1087" s="46"/>
      <c r="E1087" s="26"/>
      <c r="F1087" s="62">
        <f>F1088+F1108+F1134+F1117+F1125+F1146</f>
        <v>2112.8999999999996</v>
      </c>
      <c r="G1087" s="62">
        <f>G1088+G1108+G1134+G1117+G1125+G1146</f>
        <v>0</v>
      </c>
      <c r="H1087" s="49">
        <f t="shared" si="217"/>
        <v>2112.8999999999996</v>
      </c>
      <c r="I1087" s="62">
        <f>I1088+I1108+I1134+I1117+I1125+I1146</f>
        <v>0</v>
      </c>
      <c r="J1087" s="49">
        <f t="shared" si="228"/>
        <v>2112.8999999999996</v>
      </c>
      <c r="K1087" s="62">
        <f>K1088+K1108+K1134+K1117+K1125+K1146</f>
        <v>0</v>
      </c>
      <c r="L1087" s="49">
        <f t="shared" si="220"/>
        <v>2112.8999999999996</v>
      </c>
      <c r="M1087" s="62">
        <f>M1088+M1108+M1134+M1117+M1125+M1146</f>
        <v>0</v>
      </c>
      <c r="N1087" s="49">
        <f t="shared" si="216"/>
        <v>2112.8999999999996</v>
      </c>
    </row>
    <row r="1088" spans="1:14" ht="33" x14ac:dyDescent="0.2">
      <c r="A1088" s="50" t="str">
        <f ca="1">IF(ISERROR(MATCH(B1088,Код_КЦСР,0)),"",INDIRECT(ADDRESS(MATCH(B1088,Код_КЦСР,0)+1,2,,,"КЦСР")))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1088" s="79" t="s">
        <v>371</v>
      </c>
      <c r="C1088" s="65"/>
      <c r="D1088" s="46"/>
      <c r="E1088" s="26"/>
      <c r="F1088" s="62">
        <f>F1089+F1093+F1104</f>
        <v>1745.3</v>
      </c>
      <c r="G1088" s="62">
        <f>G1089+G1093+G1104</f>
        <v>0</v>
      </c>
      <c r="H1088" s="49">
        <f t="shared" si="217"/>
        <v>1745.3</v>
      </c>
      <c r="I1088" s="62">
        <f>I1089+I1093+I1104</f>
        <v>0</v>
      </c>
      <c r="J1088" s="49">
        <f t="shared" si="228"/>
        <v>1745.3</v>
      </c>
      <c r="K1088" s="62">
        <f>K1089+K1093+K1104</f>
        <v>0</v>
      </c>
      <c r="L1088" s="49">
        <f t="shared" si="220"/>
        <v>1745.3</v>
      </c>
      <c r="M1088" s="62">
        <f>M1089+M1093+M1104</f>
        <v>0</v>
      </c>
      <c r="N1088" s="49">
        <f t="shared" si="216"/>
        <v>1745.3</v>
      </c>
    </row>
    <row r="1089" spans="1:14" x14ac:dyDescent="0.2">
      <c r="A1089" s="50" t="str">
        <f ca="1">IF(ISERROR(MATCH(C1089,Код_Раздел,0)),"",INDIRECT(ADDRESS(MATCH(C1089,Код_Раздел,0)+1,2,,,"Раздел")))</f>
        <v>Национальная безопасность и правоохранительная  деятельность</v>
      </c>
      <c r="B1089" s="79" t="s">
        <v>371</v>
      </c>
      <c r="C1089" s="65" t="s">
        <v>72</v>
      </c>
      <c r="D1089" s="46"/>
      <c r="E1089" s="26"/>
      <c r="F1089" s="62">
        <f t="shared" ref="F1089:M1091" si="229">F1090</f>
        <v>87</v>
      </c>
      <c r="G1089" s="62">
        <f t="shared" si="229"/>
        <v>0</v>
      </c>
      <c r="H1089" s="49">
        <f t="shared" si="217"/>
        <v>87</v>
      </c>
      <c r="I1089" s="62">
        <f t="shared" si="229"/>
        <v>0</v>
      </c>
      <c r="J1089" s="49">
        <f t="shared" si="228"/>
        <v>87</v>
      </c>
      <c r="K1089" s="62">
        <f t="shared" si="229"/>
        <v>0</v>
      </c>
      <c r="L1089" s="49">
        <f t="shared" si="220"/>
        <v>87</v>
      </c>
      <c r="M1089" s="62">
        <f t="shared" si="229"/>
        <v>0</v>
      </c>
      <c r="N1089" s="49">
        <f t="shared" si="216"/>
        <v>87</v>
      </c>
    </row>
    <row r="1090" spans="1:14" ht="33" x14ac:dyDescent="0.2">
      <c r="A1090" s="45" t="s">
        <v>111</v>
      </c>
      <c r="B1090" s="79" t="s">
        <v>371</v>
      </c>
      <c r="C1090" s="65" t="s">
        <v>72</v>
      </c>
      <c r="D1090" s="46" t="s">
        <v>76</v>
      </c>
      <c r="E1090" s="26"/>
      <c r="F1090" s="62">
        <f t="shared" si="229"/>
        <v>87</v>
      </c>
      <c r="G1090" s="62">
        <f t="shared" si="229"/>
        <v>0</v>
      </c>
      <c r="H1090" s="49">
        <f t="shared" si="217"/>
        <v>87</v>
      </c>
      <c r="I1090" s="62">
        <f t="shared" si="229"/>
        <v>0</v>
      </c>
      <c r="J1090" s="49">
        <f t="shared" si="228"/>
        <v>87</v>
      </c>
      <c r="K1090" s="62">
        <f t="shared" si="229"/>
        <v>0</v>
      </c>
      <c r="L1090" s="49">
        <f t="shared" si="220"/>
        <v>87</v>
      </c>
      <c r="M1090" s="62">
        <f t="shared" si="229"/>
        <v>0</v>
      </c>
      <c r="N1090" s="49">
        <f t="shared" si="216"/>
        <v>87</v>
      </c>
    </row>
    <row r="1091" spans="1:14" ht="33" x14ac:dyDescent="0.2">
      <c r="A1091" s="50" t="str">
        <f ca="1">IF(ISERROR(MATCH(E1091,Код_КВР,0)),"",INDIRECT(ADDRESS(MATCH(E1091,Код_КВР,0)+1,2,,,"КВР")))</f>
        <v>Закупка товаров, работ и услуг для обеспечения государственных (муниципальных) нужд</v>
      </c>
      <c r="B1091" s="79" t="s">
        <v>371</v>
      </c>
      <c r="C1091" s="65" t="s">
        <v>72</v>
      </c>
      <c r="D1091" s="46" t="s">
        <v>76</v>
      </c>
      <c r="E1091" s="26">
        <v>200</v>
      </c>
      <c r="F1091" s="62">
        <f t="shared" si="229"/>
        <v>87</v>
      </c>
      <c r="G1091" s="62">
        <f t="shared" si="229"/>
        <v>0</v>
      </c>
      <c r="H1091" s="49">
        <f t="shared" si="217"/>
        <v>87</v>
      </c>
      <c r="I1091" s="62">
        <f t="shared" si="229"/>
        <v>0</v>
      </c>
      <c r="J1091" s="49">
        <f t="shared" si="228"/>
        <v>87</v>
      </c>
      <c r="K1091" s="62">
        <f t="shared" si="229"/>
        <v>0</v>
      </c>
      <c r="L1091" s="49">
        <f t="shared" si="220"/>
        <v>87</v>
      </c>
      <c r="M1091" s="62">
        <f t="shared" si="229"/>
        <v>0</v>
      </c>
      <c r="N1091" s="49">
        <f t="shared" si="216"/>
        <v>87</v>
      </c>
    </row>
    <row r="1092" spans="1:14" ht="33" x14ac:dyDescent="0.2">
      <c r="A1092" s="50" t="str">
        <f ca="1">IF(ISERROR(MATCH(E1092,Код_КВР,0)),"",INDIRECT(ADDRESS(MATCH(E1092,Код_КВР,0)+1,2,,,"КВР")))</f>
        <v>Иные закупки товаров, работ и услуг для обеспечения государственных (муниципальных) нужд</v>
      </c>
      <c r="B1092" s="79" t="s">
        <v>371</v>
      </c>
      <c r="C1092" s="65" t="s">
        <v>72</v>
      </c>
      <c r="D1092" s="46" t="s">
        <v>76</v>
      </c>
      <c r="E1092" s="26">
        <v>240</v>
      </c>
      <c r="F1092" s="62">
        <f>'прил. 8'!G157</f>
        <v>87</v>
      </c>
      <c r="G1092" s="62">
        <f>'прил. 8'!H157</f>
        <v>0</v>
      </c>
      <c r="H1092" s="49">
        <f t="shared" si="217"/>
        <v>87</v>
      </c>
      <c r="I1092" s="62">
        <f>'прил. 8'!J157</f>
        <v>0</v>
      </c>
      <c r="J1092" s="49">
        <f t="shared" si="228"/>
        <v>87</v>
      </c>
      <c r="K1092" s="62">
        <f>'прил. 8'!L157</f>
        <v>0</v>
      </c>
      <c r="L1092" s="49">
        <f t="shared" si="220"/>
        <v>87</v>
      </c>
      <c r="M1092" s="62">
        <f>'прил. 8'!N157</f>
        <v>0</v>
      </c>
      <c r="N1092" s="49">
        <f t="shared" si="216"/>
        <v>87</v>
      </c>
    </row>
    <row r="1093" spans="1:14" x14ac:dyDescent="0.2">
      <c r="A1093" s="50" t="str">
        <f ca="1">IF(ISERROR(MATCH(C1093,Код_Раздел,0)),"",INDIRECT(ADDRESS(MATCH(C1093,Код_Раздел,0)+1,2,,,"Раздел")))</f>
        <v>Образование</v>
      </c>
      <c r="B1093" s="79" t="s">
        <v>371</v>
      </c>
      <c r="C1093" s="65" t="s">
        <v>60</v>
      </c>
      <c r="D1093" s="46"/>
      <c r="E1093" s="26"/>
      <c r="F1093" s="62">
        <f>F1094+F1098+F1101</f>
        <v>1536</v>
      </c>
      <c r="G1093" s="62">
        <f>G1094+G1098+G1101</f>
        <v>0</v>
      </c>
      <c r="H1093" s="49">
        <f t="shared" si="217"/>
        <v>1536</v>
      </c>
      <c r="I1093" s="62">
        <f>I1094+I1098+I1101</f>
        <v>0</v>
      </c>
      <c r="J1093" s="49">
        <f t="shared" si="228"/>
        <v>1536</v>
      </c>
      <c r="K1093" s="62">
        <f>K1094+K1098+K1101</f>
        <v>0</v>
      </c>
      <c r="L1093" s="49">
        <f t="shared" si="220"/>
        <v>1536</v>
      </c>
      <c r="M1093" s="62">
        <f>M1094+M1098+M1101</f>
        <v>0</v>
      </c>
      <c r="N1093" s="49">
        <f t="shared" si="216"/>
        <v>1536</v>
      </c>
    </row>
    <row r="1094" spans="1:14" x14ac:dyDescent="0.2">
      <c r="A1094" s="50" t="s">
        <v>109</v>
      </c>
      <c r="B1094" s="79" t="s">
        <v>371</v>
      </c>
      <c r="C1094" s="65" t="s">
        <v>60</v>
      </c>
      <c r="D1094" s="46" t="s">
        <v>70</v>
      </c>
      <c r="E1094" s="26"/>
      <c r="F1094" s="62">
        <f>F1095</f>
        <v>1000</v>
      </c>
      <c r="G1094" s="62">
        <f>G1095</f>
        <v>0</v>
      </c>
      <c r="H1094" s="49">
        <f t="shared" si="217"/>
        <v>1000</v>
      </c>
      <c r="I1094" s="62">
        <f>I1095</f>
        <v>0</v>
      </c>
      <c r="J1094" s="49">
        <f t="shared" si="228"/>
        <v>1000</v>
      </c>
      <c r="K1094" s="62">
        <f>K1095</f>
        <v>0</v>
      </c>
      <c r="L1094" s="49">
        <f t="shared" si="220"/>
        <v>1000</v>
      </c>
      <c r="M1094" s="62">
        <f>M1095</f>
        <v>0</v>
      </c>
      <c r="N1094" s="49">
        <f t="shared" si="216"/>
        <v>1000</v>
      </c>
    </row>
    <row r="1095" spans="1:14" ht="33" x14ac:dyDescent="0.2">
      <c r="A1095" s="50" t="str">
        <f ca="1">IF(ISERROR(MATCH(E1095,Код_КВР,0)),"",INDIRECT(ADDRESS(MATCH(E1095,Код_КВР,0)+1,2,,,"КВР")))</f>
        <v>Предоставление субсидий бюджетным, автономным учреждениям и иным некоммерческим организациям</v>
      </c>
      <c r="B1095" s="79" t="s">
        <v>371</v>
      </c>
      <c r="C1095" s="65" t="s">
        <v>60</v>
      </c>
      <c r="D1095" s="46" t="s">
        <v>70</v>
      </c>
      <c r="E1095" s="26">
        <v>600</v>
      </c>
      <c r="F1095" s="62">
        <f>F1096+F1097</f>
        <v>1000</v>
      </c>
      <c r="G1095" s="62">
        <f>G1096+G1097</f>
        <v>0</v>
      </c>
      <c r="H1095" s="49">
        <f t="shared" si="217"/>
        <v>1000</v>
      </c>
      <c r="I1095" s="62">
        <f>I1096+I1097</f>
        <v>0</v>
      </c>
      <c r="J1095" s="49">
        <f t="shared" si="228"/>
        <v>1000</v>
      </c>
      <c r="K1095" s="62">
        <f>K1096+K1097</f>
        <v>0</v>
      </c>
      <c r="L1095" s="49">
        <f t="shared" si="220"/>
        <v>1000</v>
      </c>
      <c r="M1095" s="62">
        <f>M1096+M1097</f>
        <v>0</v>
      </c>
      <c r="N1095" s="49">
        <f t="shared" si="216"/>
        <v>1000</v>
      </c>
    </row>
    <row r="1096" spans="1:14" x14ac:dyDescent="0.2">
      <c r="A1096" s="50" t="str">
        <f ca="1">IF(ISERROR(MATCH(E1096,Код_КВР,0)),"",INDIRECT(ADDRESS(MATCH(E1096,Код_КВР,0)+1,2,,,"КВР")))</f>
        <v>Субсидии бюджетным учреждениям</v>
      </c>
      <c r="B1096" s="79" t="s">
        <v>371</v>
      </c>
      <c r="C1096" s="65" t="s">
        <v>60</v>
      </c>
      <c r="D1096" s="46" t="s">
        <v>70</v>
      </c>
      <c r="E1096" s="26">
        <v>610</v>
      </c>
      <c r="F1096" s="62">
        <f>'прил. 8'!G697</f>
        <v>1000</v>
      </c>
      <c r="G1096" s="62">
        <f>'прил. 8'!H697</f>
        <v>0</v>
      </c>
      <c r="H1096" s="49">
        <f t="shared" si="217"/>
        <v>1000</v>
      </c>
      <c r="I1096" s="62">
        <f>'прил. 8'!J697</f>
        <v>0</v>
      </c>
      <c r="J1096" s="49">
        <f t="shared" si="228"/>
        <v>1000</v>
      </c>
      <c r="K1096" s="62">
        <f>'прил. 8'!L697</f>
        <v>0</v>
      </c>
      <c r="L1096" s="49">
        <f t="shared" si="220"/>
        <v>1000</v>
      </c>
      <c r="M1096" s="62">
        <f>'прил. 8'!N697</f>
        <v>0</v>
      </c>
      <c r="N1096" s="49">
        <f t="shared" si="216"/>
        <v>1000</v>
      </c>
    </row>
    <row r="1097" spans="1:14" x14ac:dyDescent="0.2">
      <c r="A1097" s="50" t="str">
        <f ca="1">IF(ISERROR(MATCH(E1097,Код_КВР,0)),"",INDIRECT(ADDRESS(MATCH(E1097,Код_КВР,0)+1,2,,,"КВР")))</f>
        <v>Субсидии автономным учреждениям</v>
      </c>
      <c r="B1097" s="79" t="s">
        <v>371</v>
      </c>
      <c r="C1097" s="65" t="s">
        <v>60</v>
      </c>
      <c r="D1097" s="46" t="s">
        <v>70</v>
      </c>
      <c r="E1097" s="26">
        <v>620</v>
      </c>
      <c r="F1097" s="62">
        <f>'прил. 8'!G698</f>
        <v>0</v>
      </c>
      <c r="G1097" s="62">
        <f>'прил. 8'!H698</f>
        <v>0</v>
      </c>
      <c r="H1097" s="49">
        <f t="shared" si="217"/>
        <v>0</v>
      </c>
      <c r="I1097" s="62">
        <f>'прил. 8'!J698</f>
        <v>0</v>
      </c>
      <c r="J1097" s="49">
        <f t="shared" si="228"/>
        <v>0</v>
      </c>
      <c r="K1097" s="62">
        <f>'прил. 8'!L698</f>
        <v>0</v>
      </c>
      <c r="L1097" s="49">
        <f t="shared" si="220"/>
        <v>0</v>
      </c>
      <c r="M1097" s="62">
        <f>'прил. 8'!N698</f>
        <v>0</v>
      </c>
      <c r="N1097" s="49">
        <f t="shared" si="216"/>
        <v>0</v>
      </c>
    </row>
    <row r="1098" spans="1:14" x14ac:dyDescent="0.2">
      <c r="A1098" s="50" t="s">
        <v>102</v>
      </c>
      <c r="B1098" s="79" t="s">
        <v>371</v>
      </c>
      <c r="C1098" s="65" t="s">
        <v>60</v>
      </c>
      <c r="D1098" s="46" t="s">
        <v>71</v>
      </c>
      <c r="E1098" s="26"/>
      <c r="F1098" s="62">
        <f>F1099</f>
        <v>500</v>
      </c>
      <c r="G1098" s="62">
        <f>G1099</f>
        <v>0</v>
      </c>
      <c r="H1098" s="49">
        <f t="shared" si="217"/>
        <v>500</v>
      </c>
      <c r="I1098" s="62">
        <f>I1099</f>
        <v>0</v>
      </c>
      <c r="J1098" s="49">
        <f t="shared" si="228"/>
        <v>500</v>
      </c>
      <c r="K1098" s="62">
        <f>K1099</f>
        <v>0</v>
      </c>
      <c r="L1098" s="49">
        <f t="shared" si="220"/>
        <v>500</v>
      </c>
      <c r="M1098" s="62">
        <f>M1099</f>
        <v>0</v>
      </c>
      <c r="N1098" s="49">
        <f t="shared" si="216"/>
        <v>500</v>
      </c>
    </row>
    <row r="1099" spans="1:14" ht="33" x14ac:dyDescent="0.2">
      <c r="A1099" s="50" t="str">
        <f ca="1">IF(ISERROR(MATCH(E1099,Код_КВР,0)),"",INDIRECT(ADDRESS(MATCH(E1099,Код_КВР,0)+1,2,,,"КВР")))</f>
        <v>Предоставление субсидий бюджетным, автономным учреждениям и иным некоммерческим организациям</v>
      </c>
      <c r="B1099" s="79" t="s">
        <v>371</v>
      </c>
      <c r="C1099" s="65" t="s">
        <v>60</v>
      </c>
      <c r="D1099" s="46" t="s">
        <v>71</v>
      </c>
      <c r="E1099" s="26">
        <v>600</v>
      </c>
      <c r="F1099" s="62">
        <f>F1100</f>
        <v>500</v>
      </c>
      <c r="G1099" s="62">
        <f>G1100</f>
        <v>0</v>
      </c>
      <c r="H1099" s="49">
        <f t="shared" si="217"/>
        <v>500</v>
      </c>
      <c r="I1099" s="62">
        <f>I1100</f>
        <v>0</v>
      </c>
      <c r="J1099" s="49">
        <f t="shared" si="228"/>
        <v>500</v>
      </c>
      <c r="K1099" s="62">
        <f>K1100</f>
        <v>0</v>
      </c>
      <c r="L1099" s="49">
        <f t="shared" si="220"/>
        <v>500</v>
      </c>
      <c r="M1099" s="62">
        <f>M1100</f>
        <v>0</v>
      </c>
      <c r="N1099" s="49">
        <f t="shared" si="216"/>
        <v>500</v>
      </c>
    </row>
    <row r="1100" spans="1:14" x14ac:dyDescent="0.2">
      <c r="A1100" s="50" t="str">
        <f ca="1">IF(ISERROR(MATCH(E1100,Код_КВР,0)),"",INDIRECT(ADDRESS(MATCH(E1100,Код_КВР,0)+1,2,,,"КВР")))</f>
        <v>Субсидии бюджетным учреждениям</v>
      </c>
      <c r="B1100" s="79" t="s">
        <v>371</v>
      </c>
      <c r="C1100" s="65" t="s">
        <v>60</v>
      </c>
      <c r="D1100" s="46" t="s">
        <v>71</v>
      </c>
      <c r="E1100" s="26">
        <v>610</v>
      </c>
      <c r="F1100" s="62">
        <f>'прил. 8'!G778</f>
        <v>500</v>
      </c>
      <c r="G1100" s="62">
        <f>'прил. 8'!H778</f>
        <v>0</v>
      </c>
      <c r="H1100" s="49">
        <f t="shared" si="217"/>
        <v>500</v>
      </c>
      <c r="I1100" s="62">
        <f>'прил. 8'!J778</f>
        <v>0</v>
      </c>
      <c r="J1100" s="49">
        <f t="shared" si="228"/>
        <v>500</v>
      </c>
      <c r="K1100" s="62">
        <f>'прил. 8'!L778</f>
        <v>0</v>
      </c>
      <c r="L1100" s="49">
        <f t="shared" si="220"/>
        <v>500</v>
      </c>
      <c r="M1100" s="62">
        <f>'прил. 8'!N778</f>
        <v>0</v>
      </c>
      <c r="N1100" s="49">
        <f t="shared" si="216"/>
        <v>500</v>
      </c>
    </row>
    <row r="1101" spans="1:14" x14ac:dyDescent="0.2">
      <c r="A1101" s="45" t="s">
        <v>464</v>
      </c>
      <c r="B1101" s="79" t="s">
        <v>371</v>
      </c>
      <c r="C1101" s="65" t="s">
        <v>60</v>
      </c>
      <c r="D1101" s="46" t="s">
        <v>60</v>
      </c>
      <c r="E1101" s="26"/>
      <c r="F1101" s="62">
        <f>F1102</f>
        <v>36</v>
      </c>
      <c r="G1101" s="62">
        <f>G1102</f>
        <v>0</v>
      </c>
      <c r="H1101" s="49">
        <f t="shared" si="217"/>
        <v>36</v>
      </c>
      <c r="I1101" s="62">
        <f>I1102</f>
        <v>0</v>
      </c>
      <c r="J1101" s="49">
        <f t="shared" si="228"/>
        <v>36</v>
      </c>
      <c r="K1101" s="62">
        <f>K1102</f>
        <v>0</v>
      </c>
      <c r="L1101" s="49">
        <f t="shared" si="220"/>
        <v>36</v>
      </c>
      <c r="M1101" s="62">
        <f>M1102</f>
        <v>0</v>
      </c>
      <c r="N1101" s="49">
        <f t="shared" si="216"/>
        <v>36</v>
      </c>
    </row>
    <row r="1102" spans="1:14" ht="33" x14ac:dyDescent="0.2">
      <c r="A1102" s="50" t="str">
        <f ca="1">IF(ISERROR(MATCH(E1102,Код_КВР,0)),"",INDIRECT(ADDRESS(MATCH(E1102,Код_КВР,0)+1,2,,,"КВР")))</f>
        <v>Закупка товаров, работ и услуг для обеспечения государственных (муниципальных) нужд</v>
      </c>
      <c r="B1102" s="79" t="s">
        <v>371</v>
      </c>
      <c r="C1102" s="65" t="s">
        <v>60</v>
      </c>
      <c r="D1102" s="46" t="s">
        <v>60</v>
      </c>
      <c r="E1102" s="26">
        <v>200</v>
      </c>
      <c r="F1102" s="62">
        <f t="shared" ref="F1102:M1102" si="230">F1103</f>
        <v>36</v>
      </c>
      <c r="G1102" s="62">
        <f t="shared" si="230"/>
        <v>0</v>
      </c>
      <c r="H1102" s="49">
        <f t="shared" si="217"/>
        <v>36</v>
      </c>
      <c r="I1102" s="62">
        <f t="shared" si="230"/>
        <v>0</v>
      </c>
      <c r="J1102" s="49">
        <f t="shared" si="228"/>
        <v>36</v>
      </c>
      <c r="K1102" s="62">
        <f t="shared" si="230"/>
        <v>0</v>
      </c>
      <c r="L1102" s="49">
        <f t="shared" si="220"/>
        <v>36</v>
      </c>
      <c r="M1102" s="62">
        <f t="shared" si="230"/>
        <v>0</v>
      </c>
      <c r="N1102" s="49">
        <f t="shared" si="216"/>
        <v>36</v>
      </c>
    </row>
    <row r="1103" spans="1:14" ht="33" x14ac:dyDescent="0.2">
      <c r="A1103" s="50" t="str">
        <f ca="1">IF(ISERROR(MATCH(E1103,Код_КВР,0)),"",INDIRECT(ADDRESS(MATCH(E1103,Код_КВР,0)+1,2,,,"КВР")))</f>
        <v>Иные закупки товаров, работ и услуг для обеспечения государственных (муниципальных) нужд</v>
      </c>
      <c r="B1103" s="79" t="s">
        <v>371</v>
      </c>
      <c r="C1103" s="65" t="s">
        <v>60</v>
      </c>
      <c r="D1103" s="46" t="s">
        <v>60</v>
      </c>
      <c r="E1103" s="26">
        <v>240</v>
      </c>
      <c r="F1103" s="62">
        <f>'прил. 8'!G350</f>
        <v>36</v>
      </c>
      <c r="G1103" s="62">
        <f>'прил. 8'!H350</f>
        <v>0</v>
      </c>
      <c r="H1103" s="49">
        <f t="shared" si="217"/>
        <v>36</v>
      </c>
      <c r="I1103" s="62">
        <f>'прил. 8'!J350</f>
        <v>0</v>
      </c>
      <c r="J1103" s="49">
        <f t="shared" si="228"/>
        <v>36</v>
      </c>
      <c r="K1103" s="62">
        <f>'прил. 8'!L350</f>
        <v>0</v>
      </c>
      <c r="L1103" s="49">
        <f t="shared" si="220"/>
        <v>36</v>
      </c>
      <c r="M1103" s="62">
        <f>'прил. 8'!N350</f>
        <v>0</v>
      </c>
      <c r="N1103" s="49">
        <f t="shared" si="216"/>
        <v>36</v>
      </c>
    </row>
    <row r="1104" spans="1:14" x14ac:dyDescent="0.2">
      <c r="A1104" s="50" t="str">
        <f ca="1">IF(ISERROR(MATCH(C1104,Код_Раздел,0)),"",INDIRECT(ADDRESS(MATCH(C1104,Код_Раздел,0)+1,2,,,"Раздел")))</f>
        <v>Культура, кинематография</v>
      </c>
      <c r="B1104" s="79" t="s">
        <v>371</v>
      </c>
      <c r="C1104" s="65" t="s">
        <v>79</v>
      </c>
      <c r="D1104" s="46"/>
      <c r="E1104" s="26"/>
      <c r="F1104" s="62">
        <f t="shared" ref="F1104:M1106" si="231">F1105</f>
        <v>122.3</v>
      </c>
      <c r="G1104" s="62">
        <f t="shared" si="231"/>
        <v>0</v>
      </c>
      <c r="H1104" s="49">
        <f t="shared" si="217"/>
        <v>122.3</v>
      </c>
      <c r="I1104" s="62">
        <f t="shared" si="231"/>
        <v>0</v>
      </c>
      <c r="J1104" s="49">
        <f t="shared" si="228"/>
        <v>122.3</v>
      </c>
      <c r="K1104" s="62">
        <f t="shared" si="231"/>
        <v>0</v>
      </c>
      <c r="L1104" s="49">
        <f t="shared" si="220"/>
        <v>122.3</v>
      </c>
      <c r="M1104" s="62">
        <f t="shared" si="231"/>
        <v>0</v>
      </c>
      <c r="N1104" s="49">
        <f t="shared" si="216"/>
        <v>122.3</v>
      </c>
    </row>
    <row r="1105" spans="1:14" x14ac:dyDescent="0.2">
      <c r="A1105" s="45" t="s">
        <v>49</v>
      </c>
      <c r="B1105" s="79" t="s">
        <v>371</v>
      </c>
      <c r="C1105" s="65" t="s">
        <v>79</v>
      </c>
      <c r="D1105" s="46" t="s">
        <v>70</v>
      </c>
      <c r="E1105" s="26"/>
      <c r="F1105" s="62">
        <f t="shared" si="231"/>
        <v>122.3</v>
      </c>
      <c r="G1105" s="62">
        <f t="shared" si="231"/>
        <v>0</v>
      </c>
      <c r="H1105" s="49">
        <f t="shared" si="217"/>
        <v>122.3</v>
      </c>
      <c r="I1105" s="62">
        <f t="shared" si="231"/>
        <v>0</v>
      </c>
      <c r="J1105" s="49">
        <f t="shared" si="228"/>
        <v>122.3</v>
      </c>
      <c r="K1105" s="62">
        <f t="shared" si="231"/>
        <v>0</v>
      </c>
      <c r="L1105" s="49">
        <f t="shared" si="220"/>
        <v>122.3</v>
      </c>
      <c r="M1105" s="62">
        <f t="shared" si="231"/>
        <v>0</v>
      </c>
      <c r="N1105" s="49">
        <f t="shared" si="216"/>
        <v>122.3</v>
      </c>
    </row>
    <row r="1106" spans="1:14" ht="33" x14ac:dyDescent="0.2">
      <c r="A1106" s="50" t="str">
        <f ca="1">IF(ISERROR(MATCH(E1106,Код_КВР,0)),"",INDIRECT(ADDRESS(MATCH(E1106,Код_КВР,0)+1,2,,,"КВР")))</f>
        <v>Предоставление субсидий бюджетным, автономным учреждениям и иным некоммерческим организациям</v>
      </c>
      <c r="B1106" s="79" t="s">
        <v>371</v>
      </c>
      <c r="C1106" s="65" t="s">
        <v>79</v>
      </c>
      <c r="D1106" s="46" t="s">
        <v>70</v>
      </c>
      <c r="E1106" s="26">
        <v>600</v>
      </c>
      <c r="F1106" s="62">
        <f t="shared" si="231"/>
        <v>122.3</v>
      </c>
      <c r="G1106" s="62">
        <f t="shared" si="231"/>
        <v>0</v>
      </c>
      <c r="H1106" s="49">
        <f t="shared" si="217"/>
        <v>122.3</v>
      </c>
      <c r="I1106" s="62">
        <f t="shared" si="231"/>
        <v>0</v>
      </c>
      <c r="J1106" s="49">
        <f t="shared" si="228"/>
        <v>122.3</v>
      </c>
      <c r="K1106" s="62">
        <f t="shared" si="231"/>
        <v>0</v>
      </c>
      <c r="L1106" s="49">
        <f t="shared" si="220"/>
        <v>122.3</v>
      </c>
      <c r="M1106" s="62">
        <f t="shared" si="231"/>
        <v>0</v>
      </c>
      <c r="N1106" s="49">
        <f t="shared" ref="N1106:N1169" si="232">L1106+M1106</f>
        <v>122.3</v>
      </c>
    </row>
    <row r="1107" spans="1:14" x14ac:dyDescent="0.2">
      <c r="A1107" s="50" t="str">
        <f ca="1">IF(ISERROR(MATCH(E1107,Код_КВР,0)),"",INDIRECT(ADDRESS(MATCH(E1107,Код_КВР,0)+1,2,,,"КВР")))</f>
        <v>Субсидии бюджетным учреждениям</v>
      </c>
      <c r="B1107" s="79" t="s">
        <v>371</v>
      </c>
      <c r="C1107" s="65" t="s">
        <v>79</v>
      </c>
      <c r="D1107" s="46" t="s">
        <v>70</v>
      </c>
      <c r="E1107" s="26">
        <v>610</v>
      </c>
      <c r="F1107" s="62">
        <f>'прил. 8'!G1027</f>
        <v>122.3</v>
      </c>
      <c r="G1107" s="62">
        <f>'прил. 8'!H1027</f>
        <v>0</v>
      </c>
      <c r="H1107" s="49">
        <f t="shared" si="217"/>
        <v>122.3</v>
      </c>
      <c r="I1107" s="62">
        <f>'прил. 8'!J1027</f>
        <v>0</v>
      </c>
      <c r="J1107" s="49">
        <f t="shared" si="228"/>
        <v>122.3</v>
      </c>
      <c r="K1107" s="62">
        <f>'прил. 8'!L1027</f>
        <v>0</v>
      </c>
      <c r="L1107" s="49">
        <f t="shared" si="220"/>
        <v>122.3</v>
      </c>
      <c r="M1107" s="62">
        <f>'прил. 8'!N1027</f>
        <v>0</v>
      </c>
      <c r="N1107" s="49">
        <f t="shared" si="232"/>
        <v>122.3</v>
      </c>
    </row>
    <row r="1108" spans="1:14" ht="33" x14ac:dyDescent="0.2">
      <c r="A1108" s="50" t="str">
        <f ca="1">IF(ISERROR(MATCH(B1108,Код_КЦСР,0)),"",INDIRECT(ADDRESS(MATCH(B1108,Код_КЦСР,0)+1,2,,,"КЦСР")))</f>
        <v>Приобретение первичных средств пожаротушения, перезарядка огнетушителей</v>
      </c>
      <c r="B1108" s="79" t="s">
        <v>570</v>
      </c>
      <c r="C1108" s="65"/>
      <c r="D1108" s="46"/>
      <c r="E1108" s="26"/>
      <c r="F1108" s="62">
        <f>F1109+F1113</f>
        <v>13.1</v>
      </c>
      <c r="G1108" s="62">
        <f>G1109+G1113</f>
        <v>0</v>
      </c>
      <c r="H1108" s="49">
        <f t="shared" si="217"/>
        <v>13.1</v>
      </c>
      <c r="I1108" s="62">
        <f>I1109+I1113</f>
        <v>0</v>
      </c>
      <c r="J1108" s="49">
        <f t="shared" si="228"/>
        <v>13.1</v>
      </c>
      <c r="K1108" s="62">
        <f>K1109+K1113</f>
        <v>0</v>
      </c>
      <c r="L1108" s="49">
        <f t="shared" si="220"/>
        <v>13.1</v>
      </c>
      <c r="M1108" s="62">
        <f>M1109+M1113</f>
        <v>0</v>
      </c>
      <c r="N1108" s="49">
        <f t="shared" si="232"/>
        <v>13.1</v>
      </c>
    </row>
    <row r="1109" spans="1:14" x14ac:dyDescent="0.2">
      <c r="A1109" s="50" t="str">
        <f ca="1">IF(ISERROR(MATCH(C1109,Код_Раздел,0)),"",INDIRECT(ADDRESS(MATCH(C1109,Код_Раздел,0)+1,2,,,"Раздел")))</f>
        <v>Национальная безопасность и правоохранительная  деятельность</v>
      </c>
      <c r="B1109" s="79" t="s">
        <v>570</v>
      </c>
      <c r="C1109" s="65" t="s">
        <v>72</v>
      </c>
      <c r="D1109" s="46"/>
      <c r="E1109" s="26"/>
      <c r="F1109" s="62">
        <f t="shared" ref="F1109:M1111" si="233">F1110</f>
        <v>7.5</v>
      </c>
      <c r="G1109" s="62">
        <f t="shared" si="233"/>
        <v>0</v>
      </c>
      <c r="H1109" s="49">
        <f t="shared" si="217"/>
        <v>7.5</v>
      </c>
      <c r="I1109" s="62">
        <f t="shared" si="233"/>
        <v>0</v>
      </c>
      <c r="J1109" s="49">
        <f t="shared" si="228"/>
        <v>7.5</v>
      </c>
      <c r="K1109" s="62">
        <f t="shared" si="233"/>
        <v>0</v>
      </c>
      <c r="L1109" s="49">
        <f t="shared" si="220"/>
        <v>7.5</v>
      </c>
      <c r="M1109" s="62">
        <f t="shared" si="233"/>
        <v>0</v>
      </c>
      <c r="N1109" s="49">
        <f t="shared" si="232"/>
        <v>7.5</v>
      </c>
    </row>
    <row r="1110" spans="1:14" ht="33" x14ac:dyDescent="0.2">
      <c r="A1110" s="45" t="s">
        <v>111</v>
      </c>
      <c r="B1110" s="79" t="s">
        <v>570</v>
      </c>
      <c r="C1110" s="65" t="s">
        <v>72</v>
      </c>
      <c r="D1110" s="46" t="s">
        <v>76</v>
      </c>
      <c r="E1110" s="26"/>
      <c r="F1110" s="62">
        <f t="shared" si="233"/>
        <v>7.5</v>
      </c>
      <c r="G1110" s="62">
        <f t="shared" si="233"/>
        <v>0</v>
      </c>
      <c r="H1110" s="49">
        <f t="shared" si="217"/>
        <v>7.5</v>
      </c>
      <c r="I1110" s="62">
        <f t="shared" si="233"/>
        <v>0</v>
      </c>
      <c r="J1110" s="49">
        <f t="shared" si="228"/>
        <v>7.5</v>
      </c>
      <c r="K1110" s="62">
        <f t="shared" si="233"/>
        <v>0</v>
      </c>
      <c r="L1110" s="49">
        <f t="shared" si="220"/>
        <v>7.5</v>
      </c>
      <c r="M1110" s="62">
        <f t="shared" si="233"/>
        <v>0</v>
      </c>
      <c r="N1110" s="49">
        <f t="shared" si="232"/>
        <v>7.5</v>
      </c>
    </row>
    <row r="1111" spans="1:14" ht="33" x14ac:dyDescent="0.2">
      <c r="A1111" s="50" t="str">
        <f ca="1">IF(ISERROR(MATCH(E1111,Код_КВР,0)),"",INDIRECT(ADDRESS(MATCH(E1111,Код_КВР,0)+1,2,,,"КВР")))</f>
        <v>Закупка товаров, работ и услуг для обеспечения государственных (муниципальных) нужд</v>
      </c>
      <c r="B1111" s="79" t="s">
        <v>570</v>
      </c>
      <c r="C1111" s="65" t="s">
        <v>72</v>
      </c>
      <c r="D1111" s="46" t="s">
        <v>76</v>
      </c>
      <c r="E1111" s="26">
        <v>200</v>
      </c>
      <c r="F1111" s="62">
        <f t="shared" si="233"/>
        <v>7.5</v>
      </c>
      <c r="G1111" s="62">
        <f t="shared" si="233"/>
        <v>0</v>
      </c>
      <c r="H1111" s="49">
        <f t="shared" si="217"/>
        <v>7.5</v>
      </c>
      <c r="I1111" s="62">
        <f t="shared" si="233"/>
        <v>0</v>
      </c>
      <c r="J1111" s="49">
        <f t="shared" si="228"/>
        <v>7.5</v>
      </c>
      <c r="K1111" s="62">
        <f t="shared" si="233"/>
        <v>0</v>
      </c>
      <c r="L1111" s="49">
        <f t="shared" si="220"/>
        <v>7.5</v>
      </c>
      <c r="M1111" s="62">
        <f t="shared" si="233"/>
        <v>0</v>
      </c>
      <c r="N1111" s="49">
        <f t="shared" si="232"/>
        <v>7.5</v>
      </c>
    </row>
    <row r="1112" spans="1:14" ht="33" x14ac:dyDescent="0.2">
      <c r="A1112" s="50" t="str">
        <f ca="1">IF(ISERROR(MATCH(E1112,Код_КВР,0)),"",INDIRECT(ADDRESS(MATCH(E1112,Код_КВР,0)+1,2,,,"КВР")))</f>
        <v>Иные закупки товаров, работ и услуг для обеспечения государственных (муниципальных) нужд</v>
      </c>
      <c r="B1112" s="79" t="s">
        <v>570</v>
      </c>
      <c r="C1112" s="65" t="s">
        <v>72</v>
      </c>
      <c r="D1112" s="46" t="s">
        <v>76</v>
      </c>
      <c r="E1112" s="26">
        <v>240</v>
      </c>
      <c r="F1112" s="62">
        <f>'прил. 8'!G160</f>
        <v>7.5</v>
      </c>
      <c r="G1112" s="62">
        <f>'прил. 8'!H160</f>
        <v>0</v>
      </c>
      <c r="H1112" s="49">
        <f t="shared" si="217"/>
        <v>7.5</v>
      </c>
      <c r="I1112" s="62">
        <f>'прил. 8'!J160</f>
        <v>0</v>
      </c>
      <c r="J1112" s="49">
        <f t="shared" si="228"/>
        <v>7.5</v>
      </c>
      <c r="K1112" s="62">
        <f>'прил. 8'!L160</f>
        <v>0</v>
      </c>
      <c r="L1112" s="49">
        <f t="shared" si="220"/>
        <v>7.5</v>
      </c>
      <c r="M1112" s="62">
        <f>'прил. 8'!N160</f>
        <v>0</v>
      </c>
      <c r="N1112" s="49">
        <f t="shared" si="232"/>
        <v>7.5</v>
      </c>
    </row>
    <row r="1113" spans="1:14" x14ac:dyDescent="0.2">
      <c r="A1113" s="50" t="str">
        <f ca="1">IF(ISERROR(MATCH(C1113,Код_Раздел,0)),"",INDIRECT(ADDRESS(MATCH(C1113,Код_Раздел,0)+1,2,,,"Раздел")))</f>
        <v>Образование</v>
      </c>
      <c r="B1113" s="79" t="s">
        <v>570</v>
      </c>
      <c r="C1113" s="65" t="s">
        <v>60</v>
      </c>
      <c r="D1113" s="46"/>
      <c r="E1113" s="26"/>
      <c r="F1113" s="62">
        <f t="shared" ref="F1113:M1115" si="234">F1114</f>
        <v>5.6</v>
      </c>
      <c r="G1113" s="62">
        <f t="shared" si="234"/>
        <v>0</v>
      </c>
      <c r="H1113" s="49">
        <f t="shared" si="217"/>
        <v>5.6</v>
      </c>
      <c r="I1113" s="62">
        <f t="shared" si="234"/>
        <v>0</v>
      </c>
      <c r="J1113" s="49">
        <f t="shared" si="228"/>
        <v>5.6</v>
      </c>
      <c r="K1113" s="62">
        <f t="shared" si="234"/>
        <v>0</v>
      </c>
      <c r="L1113" s="49">
        <f t="shared" si="220"/>
        <v>5.6</v>
      </c>
      <c r="M1113" s="62">
        <f t="shared" si="234"/>
        <v>0</v>
      </c>
      <c r="N1113" s="49">
        <f t="shared" si="232"/>
        <v>5.6</v>
      </c>
    </row>
    <row r="1114" spans="1:14" x14ac:dyDescent="0.2">
      <c r="A1114" s="45" t="s">
        <v>464</v>
      </c>
      <c r="B1114" s="79" t="s">
        <v>570</v>
      </c>
      <c r="C1114" s="65" t="s">
        <v>60</v>
      </c>
      <c r="D1114" s="46" t="s">
        <v>60</v>
      </c>
      <c r="E1114" s="26"/>
      <c r="F1114" s="62">
        <f t="shared" si="234"/>
        <v>5.6</v>
      </c>
      <c r="G1114" s="62">
        <f t="shared" si="234"/>
        <v>0</v>
      </c>
      <c r="H1114" s="49">
        <f t="shared" si="217"/>
        <v>5.6</v>
      </c>
      <c r="I1114" s="62">
        <f t="shared" si="234"/>
        <v>0</v>
      </c>
      <c r="J1114" s="49">
        <f t="shared" si="228"/>
        <v>5.6</v>
      </c>
      <c r="K1114" s="62">
        <f t="shared" si="234"/>
        <v>0</v>
      </c>
      <c r="L1114" s="49">
        <f t="shared" si="220"/>
        <v>5.6</v>
      </c>
      <c r="M1114" s="62">
        <f t="shared" si="234"/>
        <v>0</v>
      </c>
      <c r="N1114" s="49">
        <f t="shared" si="232"/>
        <v>5.6</v>
      </c>
    </row>
    <row r="1115" spans="1:14" ht="33" x14ac:dyDescent="0.2">
      <c r="A1115" s="50" t="str">
        <f ca="1">IF(ISERROR(MATCH(E1115,Код_КВР,0)),"",INDIRECT(ADDRESS(MATCH(E1115,Код_КВР,0)+1,2,,,"КВР")))</f>
        <v>Закупка товаров, работ и услуг для обеспечения государственных (муниципальных) нужд</v>
      </c>
      <c r="B1115" s="79" t="s">
        <v>570</v>
      </c>
      <c r="C1115" s="65" t="s">
        <v>60</v>
      </c>
      <c r="D1115" s="46" t="s">
        <v>60</v>
      </c>
      <c r="E1115" s="26">
        <v>200</v>
      </c>
      <c r="F1115" s="62">
        <f t="shared" si="234"/>
        <v>5.6</v>
      </c>
      <c r="G1115" s="62">
        <f t="shared" si="234"/>
        <v>0</v>
      </c>
      <c r="H1115" s="49">
        <f t="shared" si="217"/>
        <v>5.6</v>
      </c>
      <c r="I1115" s="62">
        <f t="shared" si="234"/>
        <v>0</v>
      </c>
      <c r="J1115" s="49">
        <f t="shared" si="228"/>
        <v>5.6</v>
      </c>
      <c r="K1115" s="62">
        <f t="shared" si="234"/>
        <v>0</v>
      </c>
      <c r="L1115" s="49">
        <f t="shared" si="220"/>
        <v>5.6</v>
      </c>
      <c r="M1115" s="62">
        <f t="shared" si="234"/>
        <v>0</v>
      </c>
      <c r="N1115" s="49">
        <f t="shared" si="232"/>
        <v>5.6</v>
      </c>
    </row>
    <row r="1116" spans="1:14" ht="33" x14ac:dyDescent="0.2">
      <c r="A1116" s="50" t="str">
        <f ca="1">IF(ISERROR(MATCH(E1116,Код_КВР,0)),"",INDIRECT(ADDRESS(MATCH(E1116,Код_КВР,0)+1,2,,,"КВР")))</f>
        <v>Иные закупки товаров, работ и услуг для обеспечения государственных (муниципальных) нужд</v>
      </c>
      <c r="B1116" s="79" t="s">
        <v>570</v>
      </c>
      <c r="C1116" s="65" t="s">
        <v>60</v>
      </c>
      <c r="D1116" s="46" t="s">
        <v>60</v>
      </c>
      <c r="E1116" s="26">
        <v>240</v>
      </c>
      <c r="F1116" s="62">
        <f>'прил. 8'!G353</f>
        <v>5.6</v>
      </c>
      <c r="G1116" s="62">
        <f>'прил. 8'!H353</f>
        <v>0</v>
      </c>
      <c r="H1116" s="49">
        <f t="shared" si="217"/>
        <v>5.6</v>
      </c>
      <c r="I1116" s="62">
        <f>'прил. 8'!J353</f>
        <v>0</v>
      </c>
      <c r="J1116" s="49">
        <f t="shared" si="228"/>
        <v>5.6</v>
      </c>
      <c r="K1116" s="62">
        <f>'прил. 8'!L353</f>
        <v>0</v>
      </c>
      <c r="L1116" s="49">
        <f t="shared" si="220"/>
        <v>5.6</v>
      </c>
      <c r="M1116" s="62">
        <f>'прил. 8'!N353</f>
        <v>0</v>
      </c>
      <c r="N1116" s="49">
        <f t="shared" si="232"/>
        <v>5.6</v>
      </c>
    </row>
    <row r="1117" spans="1:14" hidden="1" x14ac:dyDescent="0.2">
      <c r="A1117" s="50" t="str">
        <f ca="1">IF(ISERROR(MATCH(B1117,Код_КЦСР,0)),"",INDIRECT(ADDRESS(MATCH(B1117,Код_КЦСР,0)+1,2,,,"КЦСР")))</f>
        <v>Ремонт и оборудование эвакуационных путей зданий</v>
      </c>
      <c r="B1117" s="79" t="s">
        <v>372</v>
      </c>
      <c r="C1117" s="65"/>
      <c r="D1117" s="46"/>
      <c r="E1117" s="26"/>
      <c r="F1117" s="62">
        <f>F1118</f>
        <v>0</v>
      </c>
      <c r="G1117" s="62">
        <f>G1118</f>
        <v>0</v>
      </c>
      <c r="H1117" s="49">
        <f t="shared" ref="H1117:H1180" si="235">F1117+G1117</f>
        <v>0</v>
      </c>
      <c r="I1117" s="62">
        <f>I1118</f>
        <v>0</v>
      </c>
      <c r="J1117" s="49">
        <f t="shared" si="228"/>
        <v>0</v>
      </c>
      <c r="K1117" s="62">
        <f>K1118</f>
        <v>0</v>
      </c>
      <c r="L1117" s="49">
        <f t="shared" si="220"/>
        <v>0</v>
      </c>
      <c r="M1117" s="62">
        <f>M1118</f>
        <v>0</v>
      </c>
      <c r="N1117" s="49">
        <f t="shared" si="232"/>
        <v>0</v>
      </c>
    </row>
    <row r="1118" spans="1:14" hidden="1" x14ac:dyDescent="0.2">
      <c r="A1118" s="50" t="str">
        <f ca="1">IF(ISERROR(MATCH(C1118,Код_Раздел,0)),"",INDIRECT(ADDRESS(MATCH(C1118,Код_Раздел,0)+1,2,,,"Раздел")))</f>
        <v>Образование</v>
      </c>
      <c r="B1118" s="79" t="s">
        <v>372</v>
      </c>
      <c r="C1118" s="65" t="s">
        <v>60</v>
      </c>
      <c r="D1118" s="46"/>
      <c r="E1118" s="26"/>
      <c r="F1118" s="62">
        <f>F1119+F1122</f>
        <v>0</v>
      </c>
      <c r="G1118" s="62">
        <f>G1119+G1122</f>
        <v>0</v>
      </c>
      <c r="H1118" s="49">
        <f t="shared" si="235"/>
        <v>0</v>
      </c>
      <c r="I1118" s="62">
        <f>I1119+I1122</f>
        <v>0</v>
      </c>
      <c r="J1118" s="49">
        <f t="shared" si="228"/>
        <v>0</v>
      </c>
      <c r="K1118" s="62">
        <f>K1119+K1122</f>
        <v>0</v>
      </c>
      <c r="L1118" s="49">
        <f t="shared" si="220"/>
        <v>0</v>
      </c>
      <c r="M1118" s="62">
        <f>M1119+M1122</f>
        <v>0</v>
      </c>
      <c r="N1118" s="49">
        <f t="shared" si="232"/>
        <v>0</v>
      </c>
    </row>
    <row r="1119" spans="1:14" hidden="1" x14ac:dyDescent="0.2">
      <c r="A1119" s="45" t="s">
        <v>109</v>
      </c>
      <c r="B1119" s="79" t="s">
        <v>372</v>
      </c>
      <c r="C1119" s="65" t="s">
        <v>60</v>
      </c>
      <c r="D1119" s="46" t="s">
        <v>70</v>
      </c>
      <c r="E1119" s="26"/>
      <c r="F1119" s="62">
        <f t="shared" ref="F1119:M1119" si="236">F1120</f>
        <v>0</v>
      </c>
      <c r="G1119" s="62">
        <f t="shared" si="236"/>
        <v>0</v>
      </c>
      <c r="H1119" s="49">
        <f t="shared" si="235"/>
        <v>0</v>
      </c>
      <c r="I1119" s="62">
        <f t="shared" si="236"/>
        <v>0</v>
      </c>
      <c r="J1119" s="49">
        <f t="shared" si="228"/>
        <v>0</v>
      </c>
      <c r="K1119" s="62">
        <f t="shared" si="236"/>
        <v>0</v>
      </c>
      <c r="L1119" s="49">
        <f t="shared" si="220"/>
        <v>0</v>
      </c>
      <c r="M1119" s="62">
        <f t="shared" si="236"/>
        <v>0</v>
      </c>
      <c r="N1119" s="49">
        <f t="shared" si="232"/>
        <v>0</v>
      </c>
    </row>
    <row r="1120" spans="1:14" ht="33" hidden="1" x14ac:dyDescent="0.2">
      <c r="A1120" s="50" t="str">
        <f ca="1">IF(ISERROR(MATCH(E1120,Код_КВР,0)),"",INDIRECT(ADDRESS(MATCH(E1120,Код_КВР,0)+1,2,,,"КВР")))</f>
        <v>Предоставление субсидий бюджетным, автономным учреждениям и иным некоммерческим организациям</v>
      </c>
      <c r="B1120" s="79" t="s">
        <v>372</v>
      </c>
      <c r="C1120" s="65" t="s">
        <v>60</v>
      </c>
      <c r="D1120" s="46" t="s">
        <v>70</v>
      </c>
      <c r="E1120" s="26">
        <v>600</v>
      </c>
      <c r="F1120" s="62">
        <f>F1121</f>
        <v>0</v>
      </c>
      <c r="G1120" s="62">
        <f>G1121</f>
        <v>0</v>
      </c>
      <c r="H1120" s="49">
        <f t="shared" si="235"/>
        <v>0</v>
      </c>
      <c r="I1120" s="62">
        <f>I1121</f>
        <v>0</v>
      </c>
      <c r="J1120" s="49">
        <f t="shared" si="228"/>
        <v>0</v>
      </c>
      <c r="K1120" s="62">
        <f>K1121</f>
        <v>0</v>
      </c>
      <c r="L1120" s="49">
        <f t="shared" si="220"/>
        <v>0</v>
      </c>
      <c r="M1120" s="62">
        <f>M1121</f>
        <v>0</v>
      </c>
      <c r="N1120" s="49">
        <f t="shared" si="232"/>
        <v>0</v>
      </c>
    </row>
    <row r="1121" spans="1:14" hidden="1" x14ac:dyDescent="0.2">
      <c r="A1121" s="50" t="str">
        <f ca="1">IF(ISERROR(MATCH(E1121,Код_КВР,0)),"",INDIRECT(ADDRESS(MATCH(E1121,Код_КВР,0)+1,2,,,"КВР")))</f>
        <v>Субсидии бюджетным учреждениям</v>
      </c>
      <c r="B1121" s="79" t="s">
        <v>372</v>
      </c>
      <c r="C1121" s="65" t="s">
        <v>60</v>
      </c>
      <c r="D1121" s="46" t="s">
        <v>70</v>
      </c>
      <c r="E1121" s="26">
        <v>610</v>
      </c>
      <c r="F1121" s="62">
        <f>'прил. 8'!G701</f>
        <v>0</v>
      </c>
      <c r="G1121" s="62">
        <f>'прил. 8'!H701</f>
        <v>0</v>
      </c>
      <c r="H1121" s="49">
        <f t="shared" si="235"/>
        <v>0</v>
      </c>
      <c r="I1121" s="62">
        <f>'прил. 8'!J701</f>
        <v>0</v>
      </c>
      <c r="J1121" s="49">
        <f t="shared" si="228"/>
        <v>0</v>
      </c>
      <c r="K1121" s="62">
        <f>'прил. 8'!L701</f>
        <v>0</v>
      </c>
      <c r="L1121" s="49">
        <f t="shared" si="220"/>
        <v>0</v>
      </c>
      <c r="M1121" s="62">
        <f>'прил. 8'!N701</f>
        <v>0</v>
      </c>
      <c r="N1121" s="49">
        <f t="shared" si="232"/>
        <v>0</v>
      </c>
    </row>
    <row r="1122" spans="1:14" hidden="1" x14ac:dyDescent="0.2">
      <c r="A1122" s="45" t="s">
        <v>102</v>
      </c>
      <c r="B1122" s="79" t="s">
        <v>372</v>
      </c>
      <c r="C1122" s="65" t="s">
        <v>60</v>
      </c>
      <c r="D1122" s="46" t="s">
        <v>71</v>
      </c>
      <c r="E1122" s="26"/>
      <c r="F1122" s="62">
        <f>F1123</f>
        <v>0</v>
      </c>
      <c r="G1122" s="62">
        <f>G1123</f>
        <v>0</v>
      </c>
      <c r="H1122" s="49">
        <f t="shared" si="235"/>
        <v>0</v>
      </c>
      <c r="I1122" s="62">
        <f>I1123</f>
        <v>0</v>
      </c>
      <c r="J1122" s="49">
        <f t="shared" si="228"/>
        <v>0</v>
      </c>
      <c r="K1122" s="62">
        <f>K1123</f>
        <v>0</v>
      </c>
      <c r="L1122" s="49">
        <f t="shared" si="220"/>
        <v>0</v>
      </c>
      <c r="M1122" s="62">
        <f>M1123</f>
        <v>0</v>
      </c>
      <c r="N1122" s="49">
        <f t="shared" si="232"/>
        <v>0</v>
      </c>
    </row>
    <row r="1123" spans="1:14" ht="33" hidden="1" x14ac:dyDescent="0.2">
      <c r="A1123" s="50" t="str">
        <f ca="1">IF(ISERROR(MATCH(E1123,Код_КВР,0)),"",INDIRECT(ADDRESS(MATCH(E1123,Код_КВР,0)+1,2,,,"КВР")))</f>
        <v>Предоставление субсидий бюджетным, автономным учреждениям и иным некоммерческим организациям</v>
      </c>
      <c r="B1123" s="79" t="s">
        <v>372</v>
      </c>
      <c r="C1123" s="65" t="s">
        <v>60</v>
      </c>
      <c r="D1123" s="46" t="s">
        <v>71</v>
      </c>
      <c r="E1123" s="26">
        <v>600</v>
      </c>
      <c r="F1123" s="62">
        <f>F1124</f>
        <v>0</v>
      </c>
      <c r="G1123" s="62">
        <f>G1124</f>
        <v>0</v>
      </c>
      <c r="H1123" s="49">
        <f t="shared" si="235"/>
        <v>0</v>
      </c>
      <c r="I1123" s="62">
        <f>I1124</f>
        <v>0</v>
      </c>
      <c r="J1123" s="49">
        <f t="shared" si="228"/>
        <v>0</v>
      </c>
      <c r="K1123" s="62">
        <f>K1124</f>
        <v>0</v>
      </c>
      <c r="L1123" s="49">
        <f t="shared" si="220"/>
        <v>0</v>
      </c>
      <c r="M1123" s="62">
        <f>M1124</f>
        <v>0</v>
      </c>
      <c r="N1123" s="49">
        <f t="shared" si="232"/>
        <v>0</v>
      </c>
    </row>
    <row r="1124" spans="1:14" hidden="1" x14ac:dyDescent="0.2">
      <c r="A1124" s="50" t="str">
        <f ca="1">IF(ISERROR(MATCH(E1124,Код_КВР,0)),"",INDIRECT(ADDRESS(MATCH(E1124,Код_КВР,0)+1,2,,,"КВР")))</f>
        <v>Субсидии бюджетным учреждениям</v>
      </c>
      <c r="B1124" s="79" t="s">
        <v>372</v>
      </c>
      <c r="C1124" s="65" t="s">
        <v>60</v>
      </c>
      <c r="D1124" s="46" t="s">
        <v>71</v>
      </c>
      <c r="E1124" s="26">
        <v>610</v>
      </c>
      <c r="F1124" s="62">
        <f>'прил. 8'!G781</f>
        <v>0</v>
      </c>
      <c r="G1124" s="62">
        <f>'прил. 8'!H781</f>
        <v>0</v>
      </c>
      <c r="H1124" s="49">
        <f t="shared" si="235"/>
        <v>0</v>
      </c>
      <c r="I1124" s="62">
        <f>'прил. 8'!J781</f>
        <v>0</v>
      </c>
      <c r="J1124" s="49">
        <f t="shared" si="228"/>
        <v>0</v>
      </c>
      <c r="K1124" s="62">
        <f>'прил. 8'!L781</f>
        <v>0</v>
      </c>
      <c r="L1124" s="49">
        <f t="shared" si="220"/>
        <v>0</v>
      </c>
      <c r="M1124" s="62">
        <f>'прил. 8'!N781</f>
        <v>0</v>
      </c>
      <c r="N1124" s="49">
        <f t="shared" si="232"/>
        <v>0</v>
      </c>
    </row>
    <row r="1125" spans="1:14" x14ac:dyDescent="0.2">
      <c r="A1125" s="50" t="str">
        <f ca="1">IF(ISERROR(MATCH(B1125,Код_КЦСР,0)),"",INDIRECT(ADDRESS(MATCH(B1125,Код_КЦСР,0)+1,2,,,"КЦСР")))</f>
        <v>Ремонт и обслуживание электрооборудования зданий</v>
      </c>
      <c r="B1125" s="79" t="s">
        <v>374</v>
      </c>
      <c r="C1125" s="65"/>
      <c r="D1125" s="46"/>
      <c r="E1125" s="26"/>
      <c r="F1125" s="62">
        <f>F1126+F1130</f>
        <v>218.8</v>
      </c>
      <c r="G1125" s="62">
        <f>G1126+G1130</f>
        <v>0</v>
      </c>
      <c r="H1125" s="49">
        <f t="shared" si="235"/>
        <v>218.8</v>
      </c>
      <c r="I1125" s="62">
        <f>I1126+I1130</f>
        <v>0</v>
      </c>
      <c r="J1125" s="49">
        <f t="shared" si="228"/>
        <v>218.8</v>
      </c>
      <c r="K1125" s="62">
        <f>K1126+K1130</f>
        <v>0</v>
      </c>
      <c r="L1125" s="49">
        <f t="shared" si="220"/>
        <v>218.8</v>
      </c>
      <c r="M1125" s="62">
        <f>M1126+M1130</f>
        <v>0</v>
      </c>
      <c r="N1125" s="49">
        <f t="shared" si="232"/>
        <v>218.8</v>
      </c>
    </row>
    <row r="1126" spans="1:14" x14ac:dyDescent="0.2">
      <c r="A1126" s="50" t="str">
        <f ca="1">IF(ISERROR(MATCH(C1126,Код_Раздел,0)),"",INDIRECT(ADDRESS(MATCH(C1126,Код_Раздел,0)+1,2,,,"Раздел")))</f>
        <v>Образование</v>
      </c>
      <c r="B1126" s="79" t="s">
        <v>374</v>
      </c>
      <c r="C1126" s="65" t="s">
        <v>60</v>
      </c>
      <c r="D1126" s="46"/>
      <c r="E1126" s="26"/>
      <c r="F1126" s="62">
        <f t="shared" ref="F1126:M1128" si="237">F1127</f>
        <v>32</v>
      </c>
      <c r="G1126" s="62">
        <f t="shared" si="237"/>
        <v>0</v>
      </c>
      <c r="H1126" s="49">
        <f t="shared" si="235"/>
        <v>32</v>
      </c>
      <c r="I1126" s="62">
        <f t="shared" si="237"/>
        <v>0</v>
      </c>
      <c r="J1126" s="49">
        <f t="shared" si="228"/>
        <v>32</v>
      </c>
      <c r="K1126" s="62">
        <f t="shared" si="237"/>
        <v>0</v>
      </c>
      <c r="L1126" s="49">
        <f t="shared" si="220"/>
        <v>32</v>
      </c>
      <c r="M1126" s="62">
        <f t="shared" si="237"/>
        <v>0</v>
      </c>
      <c r="N1126" s="49">
        <f t="shared" si="232"/>
        <v>32</v>
      </c>
    </row>
    <row r="1127" spans="1:14" x14ac:dyDescent="0.2">
      <c r="A1127" s="45" t="s">
        <v>464</v>
      </c>
      <c r="B1127" s="79" t="s">
        <v>374</v>
      </c>
      <c r="C1127" s="65" t="s">
        <v>60</v>
      </c>
      <c r="D1127" s="46" t="s">
        <v>60</v>
      </c>
      <c r="E1127" s="26"/>
      <c r="F1127" s="62">
        <f t="shared" si="237"/>
        <v>32</v>
      </c>
      <c r="G1127" s="62">
        <f t="shared" si="237"/>
        <v>0</v>
      </c>
      <c r="H1127" s="49">
        <f t="shared" si="235"/>
        <v>32</v>
      </c>
      <c r="I1127" s="62">
        <f t="shared" si="237"/>
        <v>0</v>
      </c>
      <c r="J1127" s="49">
        <f t="shared" si="228"/>
        <v>32</v>
      </c>
      <c r="K1127" s="62">
        <f t="shared" si="237"/>
        <v>0</v>
      </c>
      <c r="L1127" s="49">
        <f t="shared" si="220"/>
        <v>32</v>
      </c>
      <c r="M1127" s="62">
        <f t="shared" si="237"/>
        <v>0</v>
      </c>
      <c r="N1127" s="49">
        <f t="shared" si="232"/>
        <v>32</v>
      </c>
    </row>
    <row r="1128" spans="1:14" ht="33" x14ac:dyDescent="0.2">
      <c r="A1128" s="50" t="str">
        <f ca="1">IF(ISERROR(MATCH(E1128,Код_КВР,0)),"",INDIRECT(ADDRESS(MATCH(E1128,Код_КВР,0)+1,2,,,"КВР")))</f>
        <v>Закупка товаров, работ и услуг для обеспечения государственных (муниципальных) нужд</v>
      </c>
      <c r="B1128" s="79" t="s">
        <v>374</v>
      </c>
      <c r="C1128" s="65" t="s">
        <v>60</v>
      </c>
      <c r="D1128" s="46" t="s">
        <v>60</v>
      </c>
      <c r="E1128" s="26">
        <v>200</v>
      </c>
      <c r="F1128" s="62">
        <f t="shared" si="237"/>
        <v>32</v>
      </c>
      <c r="G1128" s="62">
        <f t="shared" si="237"/>
        <v>0</v>
      </c>
      <c r="H1128" s="49">
        <f t="shared" si="235"/>
        <v>32</v>
      </c>
      <c r="I1128" s="62">
        <f t="shared" si="237"/>
        <v>0</v>
      </c>
      <c r="J1128" s="49">
        <f t="shared" si="228"/>
        <v>32</v>
      </c>
      <c r="K1128" s="62">
        <f t="shared" si="237"/>
        <v>0</v>
      </c>
      <c r="L1128" s="49">
        <f t="shared" ref="L1128:L1191" si="238">J1128+K1128</f>
        <v>32</v>
      </c>
      <c r="M1128" s="62">
        <f t="shared" si="237"/>
        <v>0</v>
      </c>
      <c r="N1128" s="49">
        <f t="shared" si="232"/>
        <v>32</v>
      </c>
    </row>
    <row r="1129" spans="1:14" ht="33" x14ac:dyDescent="0.2">
      <c r="A1129" s="50" t="str">
        <f ca="1">IF(ISERROR(MATCH(E1129,Код_КВР,0)),"",INDIRECT(ADDRESS(MATCH(E1129,Код_КВР,0)+1,2,,,"КВР")))</f>
        <v>Иные закупки товаров, работ и услуг для обеспечения государственных (муниципальных) нужд</v>
      </c>
      <c r="B1129" s="79" t="s">
        <v>374</v>
      </c>
      <c r="C1129" s="65" t="s">
        <v>60</v>
      </c>
      <c r="D1129" s="46" t="s">
        <v>60</v>
      </c>
      <c r="E1129" s="26">
        <v>240</v>
      </c>
      <c r="F1129" s="62">
        <f>'прил. 8'!G356</f>
        <v>32</v>
      </c>
      <c r="G1129" s="62">
        <f>'прил. 8'!H356</f>
        <v>0</v>
      </c>
      <c r="H1129" s="49">
        <f t="shared" si="235"/>
        <v>32</v>
      </c>
      <c r="I1129" s="62">
        <f>'прил. 8'!J356</f>
        <v>0</v>
      </c>
      <c r="J1129" s="49">
        <f t="shared" si="228"/>
        <v>32</v>
      </c>
      <c r="K1129" s="62">
        <f>'прил. 8'!L356</f>
        <v>0</v>
      </c>
      <c r="L1129" s="49">
        <f t="shared" si="238"/>
        <v>32</v>
      </c>
      <c r="M1129" s="62">
        <f>'прил. 8'!N356</f>
        <v>0</v>
      </c>
      <c r="N1129" s="49">
        <f t="shared" si="232"/>
        <v>32</v>
      </c>
    </row>
    <row r="1130" spans="1:14" x14ac:dyDescent="0.2">
      <c r="A1130" s="50" t="str">
        <f ca="1">IF(ISERROR(MATCH(C1130,Код_Раздел,0)),"",INDIRECT(ADDRESS(MATCH(C1130,Код_Раздел,0)+1,2,,,"Раздел")))</f>
        <v>Культура, кинематография</v>
      </c>
      <c r="B1130" s="79" t="s">
        <v>374</v>
      </c>
      <c r="C1130" s="65" t="s">
        <v>79</v>
      </c>
      <c r="D1130" s="46"/>
      <c r="E1130" s="26"/>
      <c r="F1130" s="62">
        <f t="shared" ref="F1130:M1132" si="239">F1131</f>
        <v>186.8</v>
      </c>
      <c r="G1130" s="62">
        <f t="shared" si="239"/>
        <v>0</v>
      </c>
      <c r="H1130" s="49">
        <f t="shared" si="235"/>
        <v>186.8</v>
      </c>
      <c r="I1130" s="62">
        <f t="shared" si="239"/>
        <v>0</v>
      </c>
      <c r="J1130" s="49">
        <f t="shared" si="228"/>
        <v>186.8</v>
      </c>
      <c r="K1130" s="62">
        <f t="shared" si="239"/>
        <v>0</v>
      </c>
      <c r="L1130" s="49">
        <f t="shared" si="238"/>
        <v>186.8</v>
      </c>
      <c r="M1130" s="62">
        <f t="shared" si="239"/>
        <v>0</v>
      </c>
      <c r="N1130" s="49">
        <f t="shared" si="232"/>
        <v>186.8</v>
      </c>
    </row>
    <row r="1131" spans="1:14" x14ac:dyDescent="0.2">
      <c r="A1131" s="45" t="s">
        <v>182</v>
      </c>
      <c r="B1131" s="79" t="s">
        <v>374</v>
      </c>
      <c r="C1131" s="65" t="s">
        <v>79</v>
      </c>
      <c r="D1131" s="46" t="s">
        <v>70</v>
      </c>
      <c r="E1131" s="26"/>
      <c r="F1131" s="62">
        <f t="shared" si="239"/>
        <v>186.8</v>
      </c>
      <c r="G1131" s="62">
        <f t="shared" si="239"/>
        <v>0</v>
      </c>
      <c r="H1131" s="49">
        <f t="shared" si="235"/>
        <v>186.8</v>
      </c>
      <c r="I1131" s="62">
        <f t="shared" si="239"/>
        <v>0</v>
      </c>
      <c r="J1131" s="49">
        <f t="shared" si="228"/>
        <v>186.8</v>
      </c>
      <c r="K1131" s="62">
        <f t="shared" si="239"/>
        <v>0</v>
      </c>
      <c r="L1131" s="49">
        <f t="shared" si="238"/>
        <v>186.8</v>
      </c>
      <c r="M1131" s="62">
        <f t="shared" si="239"/>
        <v>0</v>
      </c>
      <c r="N1131" s="49">
        <f t="shared" si="232"/>
        <v>186.8</v>
      </c>
    </row>
    <row r="1132" spans="1:14" ht="33" x14ac:dyDescent="0.2">
      <c r="A1132" s="50" t="str">
        <f ca="1">IF(ISERROR(MATCH(E1132,Код_КВР,0)),"",INDIRECT(ADDRESS(MATCH(E1132,Код_КВР,0)+1,2,,,"КВР")))</f>
        <v>Предоставление субсидий бюджетным, автономным учреждениям и иным некоммерческим организациям</v>
      </c>
      <c r="B1132" s="79" t="s">
        <v>374</v>
      </c>
      <c r="C1132" s="65" t="s">
        <v>79</v>
      </c>
      <c r="D1132" s="46" t="s">
        <v>70</v>
      </c>
      <c r="E1132" s="26">
        <v>600</v>
      </c>
      <c r="F1132" s="62">
        <f t="shared" si="239"/>
        <v>186.8</v>
      </c>
      <c r="G1132" s="62">
        <f t="shared" si="239"/>
        <v>0</v>
      </c>
      <c r="H1132" s="49">
        <f t="shared" si="235"/>
        <v>186.8</v>
      </c>
      <c r="I1132" s="62">
        <f t="shared" si="239"/>
        <v>0</v>
      </c>
      <c r="J1132" s="49">
        <f t="shared" si="228"/>
        <v>186.8</v>
      </c>
      <c r="K1132" s="62">
        <f t="shared" si="239"/>
        <v>0</v>
      </c>
      <c r="L1132" s="49">
        <f t="shared" si="238"/>
        <v>186.8</v>
      </c>
      <c r="M1132" s="62">
        <f t="shared" si="239"/>
        <v>0</v>
      </c>
      <c r="N1132" s="49">
        <f t="shared" si="232"/>
        <v>186.8</v>
      </c>
    </row>
    <row r="1133" spans="1:14" x14ac:dyDescent="0.2">
      <c r="A1133" s="50" t="str">
        <f ca="1">IF(ISERROR(MATCH(E1133,Код_КВР,0)),"",INDIRECT(ADDRESS(MATCH(E1133,Код_КВР,0)+1,2,,,"КВР")))</f>
        <v>Субсидии бюджетным учреждениям</v>
      </c>
      <c r="B1133" s="79" t="s">
        <v>374</v>
      </c>
      <c r="C1133" s="65" t="s">
        <v>79</v>
      </c>
      <c r="D1133" s="46" t="s">
        <v>70</v>
      </c>
      <c r="E1133" s="26">
        <v>610</v>
      </c>
      <c r="F1133" s="62">
        <f>'прил. 8'!G1030</f>
        <v>186.8</v>
      </c>
      <c r="G1133" s="62">
        <f>'прил. 8'!H1030</f>
        <v>0</v>
      </c>
      <c r="H1133" s="49">
        <f t="shared" si="235"/>
        <v>186.8</v>
      </c>
      <c r="I1133" s="62">
        <f>'прил. 8'!J1030</f>
        <v>0</v>
      </c>
      <c r="J1133" s="49">
        <f t="shared" si="228"/>
        <v>186.8</v>
      </c>
      <c r="K1133" s="62">
        <f>'прил. 8'!L1030</f>
        <v>0</v>
      </c>
      <c r="L1133" s="49">
        <f t="shared" si="238"/>
        <v>186.8</v>
      </c>
      <c r="M1133" s="62">
        <f>'прил. 8'!N1030</f>
        <v>0</v>
      </c>
      <c r="N1133" s="49">
        <f t="shared" si="232"/>
        <v>186.8</v>
      </c>
    </row>
    <row r="1134" spans="1:14" x14ac:dyDescent="0.2">
      <c r="A1134" s="50" t="str">
        <f ca="1">IF(ISERROR(MATCH(B1134,Код_КЦСР,0)),"",INDIRECT(ADDRESS(MATCH(B1134,Код_КЦСР,0)+1,2,,,"КЦСР")))</f>
        <v>Ремонт и испытание наружных пожарных лестниц</v>
      </c>
      <c r="B1134" s="79" t="s">
        <v>375</v>
      </c>
      <c r="C1134" s="65"/>
      <c r="D1134" s="46"/>
      <c r="E1134" s="26"/>
      <c r="F1134" s="62">
        <f>F1135+F1139</f>
        <v>14</v>
      </c>
      <c r="G1134" s="62">
        <f>G1135+G1139</f>
        <v>0</v>
      </c>
      <c r="H1134" s="49">
        <f t="shared" si="235"/>
        <v>14</v>
      </c>
      <c r="I1134" s="62">
        <f>I1135+I1139</f>
        <v>0</v>
      </c>
      <c r="J1134" s="49">
        <f t="shared" si="228"/>
        <v>14</v>
      </c>
      <c r="K1134" s="62">
        <f>K1135+K1139</f>
        <v>0</v>
      </c>
      <c r="L1134" s="49">
        <f t="shared" si="238"/>
        <v>14</v>
      </c>
      <c r="M1134" s="62">
        <f>M1135+M1139</f>
        <v>0</v>
      </c>
      <c r="N1134" s="49">
        <f t="shared" si="232"/>
        <v>14</v>
      </c>
    </row>
    <row r="1135" spans="1:14" x14ac:dyDescent="0.2">
      <c r="A1135" s="50" t="str">
        <f ca="1">IF(ISERROR(MATCH(C1135,Код_Раздел,0)),"",INDIRECT(ADDRESS(MATCH(C1135,Код_Раздел,0)+1,2,,,"Раздел")))</f>
        <v>Национальная безопасность и правоохранительная  деятельность</v>
      </c>
      <c r="B1135" s="79" t="s">
        <v>375</v>
      </c>
      <c r="C1135" s="65" t="s">
        <v>72</v>
      </c>
      <c r="D1135" s="46"/>
      <c r="E1135" s="26"/>
      <c r="F1135" s="62">
        <f t="shared" ref="F1135:M1137" si="240">F1136</f>
        <v>14</v>
      </c>
      <c r="G1135" s="62">
        <f t="shared" si="240"/>
        <v>0</v>
      </c>
      <c r="H1135" s="49">
        <f t="shared" si="235"/>
        <v>14</v>
      </c>
      <c r="I1135" s="62">
        <f t="shared" si="240"/>
        <v>0</v>
      </c>
      <c r="J1135" s="49">
        <f t="shared" si="228"/>
        <v>14</v>
      </c>
      <c r="K1135" s="62">
        <f t="shared" si="240"/>
        <v>0</v>
      </c>
      <c r="L1135" s="49">
        <f t="shared" si="238"/>
        <v>14</v>
      </c>
      <c r="M1135" s="62">
        <f t="shared" si="240"/>
        <v>0</v>
      </c>
      <c r="N1135" s="49">
        <f t="shared" si="232"/>
        <v>14</v>
      </c>
    </row>
    <row r="1136" spans="1:14" ht="33" x14ac:dyDescent="0.2">
      <c r="A1136" s="45" t="s">
        <v>111</v>
      </c>
      <c r="B1136" s="79" t="s">
        <v>375</v>
      </c>
      <c r="C1136" s="65" t="s">
        <v>72</v>
      </c>
      <c r="D1136" s="46" t="s">
        <v>76</v>
      </c>
      <c r="E1136" s="26"/>
      <c r="F1136" s="62">
        <f t="shared" si="240"/>
        <v>14</v>
      </c>
      <c r="G1136" s="62">
        <f t="shared" si="240"/>
        <v>0</v>
      </c>
      <c r="H1136" s="49">
        <f t="shared" si="235"/>
        <v>14</v>
      </c>
      <c r="I1136" s="62">
        <f t="shared" si="240"/>
        <v>0</v>
      </c>
      <c r="J1136" s="49">
        <f t="shared" si="228"/>
        <v>14</v>
      </c>
      <c r="K1136" s="62">
        <f t="shared" si="240"/>
        <v>0</v>
      </c>
      <c r="L1136" s="49">
        <f t="shared" si="238"/>
        <v>14</v>
      </c>
      <c r="M1136" s="62">
        <f t="shared" si="240"/>
        <v>0</v>
      </c>
      <c r="N1136" s="49">
        <f t="shared" si="232"/>
        <v>14</v>
      </c>
    </row>
    <row r="1137" spans="1:14" ht="33" x14ac:dyDescent="0.2">
      <c r="A1137" s="50" t="str">
        <f ca="1">IF(ISERROR(MATCH(E1137,Код_КВР,0)),"",INDIRECT(ADDRESS(MATCH(E1137,Код_КВР,0)+1,2,,,"КВР")))</f>
        <v>Закупка товаров, работ и услуг для обеспечения государственных (муниципальных) нужд</v>
      </c>
      <c r="B1137" s="79" t="s">
        <v>375</v>
      </c>
      <c r="C1137" s="65" t="s">
        <v>72</v>
      </c>
      <c r="D1137" s="46" t="s">
        <v>76</v>
      </c>
      <c r="E1137" s="26">
        <v>200</v>
      </c>
      <c r="F1137" s="62">
        <f t="shared" si="240"/>
        <v>14</v>
      </c>
      <c r="G1137" s="62">
        <f t="shared" si="240"/>
        <v>0</v>
      </c>
      <c r="H1137" s="49">
        <f t="shared" si="235"/>
        <v>14</v>
      </c>
      <c r="I1137" s="62">
        <f t="shared" si="240"/>
        <v>0</v>
      </c>
      <c r="J1137" s="49">
        <f t="shared" si="228"/>
        <v>14</v>
      </c>
      <c r="K1137" s="62">
        <f t="shared" si="240"/>
        <v>0</v>
      </c>
      <c r="L1137" s="49">
        <f t="shared" si="238"/>
        <v>14</v>
      </c>
      <c r="M1137" s="62">
        <f t="shared" si="240"/>
        <v>0</v>
      </c>
      <c r="N1137" s="49">
        <f t="shared" si="232"/>
        <v>14</v>
      </c>
    </row>
    <row r="1138" spans="1:14" ht="33" x14ac:dyDescent="0.2">
      <c r="A1138" s="50" t="str">
        <f ca="1">IF(ISERROR(MATCH(E1138,Код_КВР,0)),"",INDIRECT(ADDRESS(MATCH(E1138,Код_КВР,0)+1,2,,,"КВР")))</f>
        <v>Иные закупки товаров, работ и услуг для обеспечения государственных (муниципальных) нужд</v>
      </c>
      <c r="B1138" s="79" t="s">
        <v>375</v>
      </c>
      <c r="C1138" s="65" t="s">
        <v>72</v>
      </c>
      <c r="D1138" s="46" t="s">
        <v>76</v>
      </c>
      <c r="E1138" s="26">
        <v>240</v>
      </c>
      <c r="F1138" s="62">
        <f>'прил. 8'!G163</f>
        <v>14</v>
      </c>
      <c r="G1138" s="62">
        <f>'прил. 8'!H163</f>
        <v>0</v>
      </c>
      <c r="H1138" s="49">
        <f t="shared" si="235"/>
        <v>14</v>
      </c>
      <c r="I1138" s="62">
        <f>'прил. 8'!J163</f>
        <v>0</v>
      </c>
      <c r="J1138" s="49">
        <f t="shared" si="228"/>
        <v>14</v>
      </c>
      <c r="K1138" s="62">
        <f>'прил. 8'!L163</f>
        <v>0</v>
      </c>
      <c r="L1138" s="49">
        <f t="shared" si="238"/>
        <v>14</v>
      </c>
      <c r="M1138" s="62">
        <f>'прил. 8'!N163</f>
        <v>0</v>
      </c>
      <c r="N1138" s="49">
        <f t="shared" si="232"/>
        <v>14</v>
      </c>
    </row>
    <row r="1139" spans="1:14" hidden="1" x14ac:dyDescent="0.2">
      <c r="A1139" s="50" t="str">
        <f ca="1">IF(ISERROR(MATCH(C1139,Код_Раздел,0)),"",INDIRECT(ADDRESS(MATCH(C1139,Код_Раздел,0)+1,2,,,"Раздел")))</f>
        <v>Образование</v>
      </c>
      <c r="B1139" s="79" t="s">
        <v>375</v>
      </c>
      <c r="C1139" s="65" t="s">
        <v>60</v>
      </c>
      <c r="D1139" s="46"/>
      <c r="E1139" s="26"/>
      <c r="F1139" s="62">
        <f>F1140+F1143</f>
        <v>0</v>
      </c>
      <c r="G1139" s="62">
        <f>G1140+G1143</f>
        <v>0</v>
      </c>
      <c r="H1139" s="49">
        <f t="shared" si="235"/>
        <v>0</v>
      </c>
      <c r="I1139" s="62">
        <f>I1140+I1143</f>
        <v>0</v>
      </c>
      <c r="J1139" s="49">
        <f t="shared" si="228"/>
        <v>0</v>
      </c>
      <c r="K1139" s="62">
        <f>K1140+K1143</f>
        <v>0</v>
      </c>
      <c r="L1139" s="49">
        <f t="shared" si="238"/>
        <v>0</v>
      </c>
      <c r="M1139" s="62">
        <f>M1140+M1143</f>
        <v>0</v>
      </c>
      <c r="N1139" s="49">
        <f t="shared" si="232"/>
        <v>0</v>
      </c>
    </row>
    <row r="1140" spans="1:14" hidden="1" x14ac:dyDescent="0.2">
      <c r="A1140" s="45" t="s">
        <v>109</v>
      </c>
      <c r="B1140" s="79" t="s">
        <v>375</v>
      </c>
      <c r="C1140" s="65" t="s">
        <v>60</v>
      </c>
      <c r="D1140" s="46" t="s">
        <v>70</v>
      </c>
      <c r="E1140" s="26"/>
      <c r="F1140" s="62">
        <f>F1141</f>
        <v>0</v>
      </c>
      <c r="G1140" s="62">
        <f>G1141</f>
        <v>0</v>
      </c>
      <c r="H1140" s="49">
        <f t="shared" si="235"/>
        <v>0</v>
      </c>
      <c r="I1140" s="62">
        <f>I1141</f>
        <v>0</v>
      </c>
      <c r="J1140" s="49">
        <f t="shared" si="228"/>
        <v>0</v>
      </c>
      <c r="K1140" s="62">
        <f>K1141</f>
        <v>0</v>
      </c>
      <c r="L1140" s="49">
        <f t="shared" si="238"/>
        <v>0</v>
      </c>
      <c r="M1140" s="62">
        <f>M1141</f>
        <v>0</v>
      </c>
      <c r="N1140" s="49">
        <f t="shared" si="232"/>
        <v>0</v>
      </c>
    </row>
    <row r="1141" spans="1:14" ht="33" hidden="1" x14ac:dyDescent="0.2">
      <c r="A1141" s="50" t="str">
        <f ca="1">IF(ISERROR(MATCH(E1141,Код_КВР,0)),"",INDIRECT(ADDRESS(MATCH(E1141,Код_КВР,0)+1,2,,,"КВР")))</f>
        <v>Предоставление субсидий бюджетным, автономным учреждениям и иным некоммерческим организациям</v>
      </c>
      <c r="B1141" s="79" t="s">
        <v>375</v>
      </c>
      <c r="C1141" s="65" t="s">
        <v>60</v>
      </c>
      <c r="D1141" s="46" t="s">
        <v>70</v>
      </c>
      <c r="E1141" s="26">
        <v>600</v>
      </c>
      <c r="F1141" s="62">
        <f t="shared" ref="F1141:M1141" si="241">F1142</f>
        <v>0</v>
      </c>
      <c r="G1141" s="62">
        <f t="shared" si="241"/>
        <v>0</v>
      </c>
      <c r="H1141" s="49">
        <f t="shared" si="235"/>
        <v>0</v>
      </c>
      <c r="I1141" s="62">
        <f t="shared" si="241"/>
        <v>0</v>
      </c>
      <c r="J1141" s="49">
        <f t="shared" si="228"/>
        <v>0</v>
      </c>
      <c r="K1141" s="62">
        <f t="shared" si="241"/>
        <v>0</v>
      </c>
      <c r="L1141" s="49">
        <f t="shared" si="238"/>
        <v>0</v>
      </c>
      <c r="M1141" s="62">
        <f t="shared" si="241"/>
        <v>0</v>
      </c>
      <c r="N1141" s="49">
        <f t="shared" si="232"/>
        <v>0</v>
      </c>
    </row>
    <row r="1142" spans="1:14" hidden="1" x14ac:dyDescent="0.2">
      <c r="A1142" s="50" t="str">
        <f ca="1">IF(ISERROR(MATCH(E1142,Код_КВР,0)),"",INDIRECT(ADDRESS(MATCH(E1142,Код_КВР,0)+1,2,,,"КВР")))</f>
        <v>Субсидии бюджетным учреждениям</v>
      </c>
      <c r="B1142" s="79" t="s">
        <v>375</v>
      </c>
      <c r="C1142" s="65" t="s">
        <v>60</v>
      </c>
      <c r="D1142" s="46" t="s">
        <v>70</v>
      </c>
      <c r="E1142" s="26">
        <v>610</v>
      </c>
      <c r="F1142" s="62">
        <f>'прил. 8'!G704</f>
        <v>0</v>
      </c>
      <c r="G1142" s="62">
        <f>'прил. 8'!H704</f>
        <v>0</v>
      </c>
      <c r="H1142" s="49">
        <f t="shared" si="235"/>
        <v>0</v>
      </c>
      <c r="I1142" s="62">
        <f>'прил. 8'!J704</f>
        <v>0</v>
      </c>
      <c r="J1142" s="49">
        <f t="shared" si="228"/>
        <v>0</v>
      </c>
      <c r="K1142" s="62">
        <f>'прил. 8'!L704</f>
        <v>0</v>
      </c>
      <c r="L1142" s="49">
        <f t="shared" si="238"/>
        <v>0</v>
      </c>
      <c r="M1142" s="62">
        <f>'прил. 8'!N704</f>
        <v>0</v>
      </c>
      <c r="N1142" s="49">
        <f t="shared" si="232"/>
        <v>0</v>
      </c>
    </row>
    <row r="1143" spans="1:14" hidden="1" x14ac:dyDescent="0.2">
      <c r="A1143" s="45" t="s">
        <v>102</v>
      </c>
      <c r="B1143" s="79" t="s">
        <v>375</v>
      </c>
      <c r="C1143" s="65" t="s">
        <v>60</v>
      </c>
      <c r="D1143" s="46" t="s">
        <v>71</v>
      </c>
      <c r="E1143" s="26"/>
      <c r="F1143" s="62">
        <f>F1144</f>
        <v>0</v>
      </c>
      <c r="G1143" s="62">
        <f>G1144</f>
        <v>0</v>
      </c>
      <c r="H1143" s="49">
        <f t="shared" si="235"/>
        <v>0</v>
      </c>
      <c r="I1143" s="62">
        <f>I1144</f>
        <v>0</v>
      </c>
      <c r="J1143" s="49">
        <f t="shared" si="228"/>
        <v>0</v>
      </c>
      <c r="K1143" s="62">
        <f>K1144</f>
        <v>0</v>
      </c>
      <c r="L1143" s="49">
        <f t="shared" si="238"/>
        <v>0</v>
      </c>
      <c r="M1143" s="62">
        <f>M1144</f>
        <v>0</v>
      </c>
      <c r="N1143" s="49">
        <f t="shared" si="232"/>
        <v>0</v>
      </c>
    </row>
    <row r="1144" spans="1:14" ht="33" hidden="1" x14ac:dyDescent="0.2">
      <c r="A1144" s="50" t="str">
        <f ca="1">IF(ISERROR(MATCH(E1144,Код_КВР,0)),"",INDIRECT(ADDRESS(MATCH(E1144,Код_КВР,0)+1,2,,,"КВР")))</f>
        <v>Предоставление субсидий бюджетным, автономным учреждениям и иным некоммерческим организациям</v>
      </c>
      <c r="B1144" s="79" t="s">
        <v>375</v>
      </c>
      <c r="C1144" s="65" t="s">
        <v>60</v>
      </c>
      <c r="D1144" s="46" t="s">
        <v>71</v>
      </c>
      <c r="E1144" s="26">
        <v>600</v>
      </c>
      <c r="F1144" s="62">
        <f>F1145</f>
        <v>0</v>
      </c>
      <c r="G1144" s="62">
        <f>G1145</f>
        <v>0</v>
      </c>
      <c r="H1144" s="49">
        <f t="shared" si="235"/>
        <v>0</v>
      </c>
      <c r="I1144" s="62">
        <f>I1145</f>
        <v>0</v>
      </c>
      <c r="J1144" s="49">
        <f t="shared" si="228"/>
        <v>0</v>
      </c>
      <c r="K1144" s="62">
        <f>K1145</f>
        <v>0</v>
      </c>
      <c r="L1144" s="49">
        <f t="shared" si="238"/>
        <v>0</v>
      </c>
      <c r="M1144" s="62">
        <f>M1145</f>
        <v>0</v>
      </c>
      <c r="N1144" s="49">
        <f t="shared" si="232"/>
        <v>0</v>
      </c>
    </row>
    <row r="1145" spans="1:14" hidden="1" x14ac:dyDescent="0.2">
      <c r="A1145" s="50" t="str">
        <f ca="1">IF(ISERROR(MATCH(E1145,Код_КВР,0)),"",INDIRECT(ADDRESS(MATCH(E1145,Код_КВР,0)+1,2,,,"КВР")))</f>
        <v>Субсидии бюджетным учреждениям</v>
      </c>
      <c r="B1145" s="79" t="s">
        <v>375</v>
      </c>
      <c r="C1145" s="65" t="s">
        <v>60</v>
      </c>
      <c r="D1145" s="46" t="s">
        <v>71</v>
      </c>
      <c r="E1145" s="26">
        <v>610</v>
      </c>
      <c r="F1145" s="62">
        <f>'прил. 8'!G784</f>
        <v>0</v>
      </c>
      <c r="G1145" s="62">
        <f>'прил. 8'!H784</f>
        <v>0</v>
      </c>
      <c r="H1145" s="49">
        <f t="shared" si="235"/>
        <v>0</v>
      </c>
      <c r="I1145" s="62">
        <f>'прил. 8'!J784</f>
        <v>0</v>
      </c>
      <c r="J1145" s="49">
        <f t="shared" si="228"/>
        <v>0</v>
      </c>
      <c r="K1145" s="62">
        <f>'прил. 8'!L784</f>
        <v>0</v>
      </c>
      <c r="L1145" s="49">
        <f t="shared" si="238"/>
        <v>0</v>
      </c>
      <c r="M1145" s="62">
        <f>'прил. 8'!N784</f>
        <v>0</v>
      </c>
      <c r="N1145" s="49">
        <f t="shared" si="232"/>
        <v>0</v>
      </c>
    </row>
    <row r="1146" spans="1:14" ht="33" x14ac:dyDescent="0.2">
      <c r="A1146" s="50" t="str">
        <f ca="1">IF(ISERROR(MATCH(B1146,Код_КЦСР,0)),"",INDIRECT(ADDRESS(MATCH(B1146,Код_КЦСР,0)+1,2,,,"КЦСР")))</f>
        <v>Огнезащитная обработка деревянных и металлических конструкций зданий, декорации и одежды сцены. Проведение экспертизы</v>
      </c>
      <c r="B1146" s="79" t="s">
        <v>376</v>
      </c>
      <c r="C1146" s="65"/>
      <c r="D1146" s="46"/>
      <c r="E1146" s="26"/>
      <c r="F1146" s="62">
        <f t="shared" ref="F1146:M1149" si="242">F1147</f>
        <v>121.7</v>
      </c>
      <c r="G1146" s="62">
        <f t="shared" si="242"/>
        <v>0</v>
      </c>
      <c r="H1146" s="49">
        <f t="shared" si="235"/>
        <v>121.7</v>
      </c>
      <c r="I1146" s="62">
        <f t="shared" si="242"/>
        <v>0</v>
      </c>
      <c r="J1146" s="49">
        <f t="shared" si="228"/>
        <v>121.7</v>
      </c>
      <c r="K1146" s="62">
        <f t="shared" si="242"/>
        <v>0</v>
      </c>
      <c r="L1146" s="49">
        <f t="shared" si="238"/>
        <v>121.7</v>
      </c>
      <c r="M1146" s="62">
        <f t="shared" si="242"/>
        <v>0</v>
      </c>
      <c r="N1146" s="49">
        <f t="shared" si="232"/>
        <v>121.7</v>
      </c>
    </row>
    <row r="1147" spans="1:14" x14ac:dyDescent="0.2">
      <c r="A1147" s="50" t="str">
        <f ca="1">IF(ISERROR(MATCH(C1147,Код_Раздел,0)),"",INDIRECT(ADDRESS(MATCH(C1147,Код_Раздел,0)+1,2,,,"Раздел")))</f>
        <v>Образование</v>
      </c>
      <c r="B1147" s="79" t="s">
        <v>376</v>
      </c>
      <c r="C1147" s="65" t="s">
        <v>60</v>
      </c>
      <c r="D1147" s="46"/>
      <c r="E1147" s="26"/>
      <c r="F1147" s="62">
        <f t="shared" si="242"/>
        <v>121.7</v>
      </c>
      <c r="G1147" s="62">
        <f t="shared" si="242"/>
        <v>0</v>
      </c>
      <c r="H1147" s="49">
        <f t="shared" si="235"/>
        <v>121.7</v>
      </c>
      <c r="I1147" s="62">
        <f t="shared" si="242"/>
        <v>0</v>
      </c>
      <c r="J1147" s="49">
        <f t="shared" si="228"/>
        <v>121.7</v>
      </c>
      <c r="K1147" s="62">
        <f t="shared" si="242"/>
        <v>0</v>
      </c>
      <c r="L1147" s="49">
        <f t="shared" si="238"/>
        <v>121.7</v>
      </c>
      <c r="M1147" s="62">
        <f t="shared" si="242"/>
        <v>0</v>
      </c>
      <c r="N1147" s="49">
        <f t="shared" si="232"/>
        <v>121.7</v>
      </c>
    </row>
    <row r="1148" spans="1:14" x14ac:dyDescent="0.2">
      <c r="A1148" s="45" t="s">
        <v>465</v>
      </c>
      <c r="B1148" s="79" t="s">
        <v>376</v>
      </c>
      <c r="C1148" s="65" t="s">
        <v>60</v>
      </c>
      <c r="D1148" s="46" t="s">
        <v>72</v>
      </c>
      <c r="E1148" s="26"/>
      <c r="F1148" s="62">
        <f t="shared" si="242"/>
        <v>121.7</v>
      </c>
      <c r="G1148" s="62">
        <f t="shared" si="242"/>
        <v>0</v>
      </c>
      <c r="H1148" s="49">
        <f t="shared" si="235"/>
        <v>121.7</v>
      </c>
      <c r="I1148" s="62">
        <f t="shared" si="242"/>
        <v>0</v>
      </c>
      <c r="J1148" s="49">
        <f t="shared" si="228"/>
        <v>121.7</v>
      </c>
      <c r="K1148" s="62">
        <f t="shared" si="242"/>
        <v>0</v>
      </c>
      <c r="L1148" s="49">
        <f t="shared" si="238"/>
        <v>121.7</v>
      </c>
      <c r="M1148" s="62">
        <f t="shared" si="242"/>
        <v>0</v>
      </c>
      <c r="N1148" s="49">
        <f t="shared" si="232"/>
        <v>121.7</v>
      </c>
    </row>
    <row r="1149" spans="1:14" ht="33" x14ac:dyDescent="0.2">
      <c r="A1149" s="50" t="str">
        <f ca="1">IF(ISERROR(MATCH(E1149,Код_КВР,0)),"",INDIRECT(ADDRESS(MATCH(E1149,Код_КВР,0)+1,2,,,"КВР")))</f>
        <v>Предоставление субсидий бюджетным, автономным учреждениям и иным некоммерческим организациям</v>
      </c>
      <c r="B1149" s="79" t="s">
        <v>376</v>
      </c>
      <c r="C1149" s="65" t="s">
        <v>60</v>
      </c>
      <c r="D1149" s="46" t="s">
        <v>72</v>
      </c>
      <c r="E1149" s="26">
        <v>600</v>
      </c>
      <c r="F1149" s="62">
        <f t="shared" si="242"/>
        <v>121.7</v>
      </c>
      <c r="G1149" s="62">
        <f t="shared" si="242"/>
        <v>0</v>
      </c>
      <c r="H1149" s="49">
        <f t="shared" si="235"/>
        <v>121.7</v>
      </c>
      <c r="I1149" s="62">
        <f t="shared" si="242"/>
        <v>0</v>
      </c>
      <c r="J1149" s="49">
        <f t="shared" ref="J1149:J1212" si="243">H1149+I1149</f>
        <v>121.7</v>
      </c>
      <c r="K1149" s="62">
        <f t="shared" si="242"/>
        <v>0</v>
      </c>
      <c r="L1149" s="49">
        <f t="shared" si="238"/>
        <v>121.7</v>
      </c>
      <c r="M1149" s="62">
        <f t="shared" si="242"/>
        <v>0</v>
      </c>
      <c r="N1149" s="49">
        <f t="shared" si="232"/>
        <v>121.7</v>
      </c>
    </row>
    <row r="1150" spans="1:14" x14ac:dyDescent="0.2">
      <c r="A1150" s="50" t="str">
        <f ca="1">IF(ISERROR(MATCH(E1150,Код_КВР,0)),"",INDIRECT(ADDRESS(MATCH(E1150,Код_КВР,0)+1,2,,,"КВР")))</f>
        <v>Субсидии бюджетным учреждениям</v>
      </c>
      <c r="B1150" s="79" t="s">
        <v>376</v>
      </c>
      <c r="C1150" s="65" t="s">
        <v>60</v>
      </c>
      <c r="D1150" s="46" t="s">
        <v>72</v>
      </c>
      <c r="E1150" s="26">
        <v>610</v>
      </c>
      <c r="F1150" s="62">
        <f>'прил. 8'!G973</f>
        <v>121.7</v>
      </c>
      <c r="G1150" s="62">
        <f>'прил. 8'!H973</f>
        <v>0</v>
      </c>
      <c r="H1150" s="49">
        <f t="shared" si="235"/>
        <v>121.7</v>
      </c>
      <c r="I1150" s="62">
        <f>'прил. 8'!J973</f>
        <v>0</v>
      </c>
      <c r="J1150" s="49">
        <f t="shared" si="243"/>
        <v>121.7</v>
      </c>
      <c r="K1150" s="62">
        <f>'прил. 8'!L973</f>
        <v>0</v>
      </c>
      <c r="L1150" s="49">
        <f t="shared" si="238"/>
        <v>121.7</v>
      </c>
      <c r="M1150" s="62">
        <f>'прил. 8'!N973</f>
        <v>0</v>
      </c>
      <c r="N1150" s="49">
        <f t="shared" si="232"/>
        <v>121.7</v>
      </c>
    </row>
    <row r="1151" spans="1:14" ht="33" x14ac:dyDescent="0.2">
      <c r="A1151" s="50" t="str">
        <f ca="1">IF(ISERROR(MATCH(B1151,Код_КЦСР,0)),"",INDIRECT(ADDRESS(MATCH(B1151,Код_КЦСР,0)+1,2,,,"КЦСР")))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1151" s="79" t="s">
        <v>378</v>
      </c>
      <c r="C1151" s="65"/>
      <c r="D1151" s="46"/>
      <c r="E1151" s="26"/>
      <c r="F1151" s="62">
        <f>F1152+F1157</f>
        <v>1184</v>
      </c>
      <c r="G1151" s="62">
        <f>G1152+G1157</f>
        <v>0</v>
      </c>
      <c r="H1151" s="49">
        <f t="shared" si="235"/>
        <v>1184</v>
      </c>
      <c r="I1151" s="62">
        <f>I1152+I1157</f>
        <v>0</v>
      </c>
      <c r="J1151" s="49">
        <f t="shared" si="243"/>
        <v>1184</v>
      </c>
      <c r="K1151" s="62">
        <f>K1152+K1157</f>
        <v>0</v>
      </c>
      <c r="L1151" s="49">
        <f t="shared" si="238"/>
        <v>1184</v>
      </c>
      <c r="M1151" s="62">
        <f>M1152+M1157</f>
        <v>0</v>
      </c>
      <c r="N1151" s="49">
        <f t="shared" si="232"/>
        <v>1184</v>
      </c>
    </row>
    <row r="1152" spans="1:14" ht="33" x14ac:dyDescent="0.2">
      <c r="A1152" s="50" t="str">
        <f ca="1">IF(ISERROR(MATCH(B1152,Код_КЦСР,0)),"",INDIRECT(ADDRESS(MATCH(B1152,Код_КЦСР,0)+1,2,,,"КЦСР")))</f>
        <v>Оснащение аварийно-спасательных подразделений МБУ «СпаС» современными аварийно-спасательными средствами и инструментом</v>
      </c>
      <c r="B1152" s="79" t="s">
        <v>379</v>
      </c>
      <c r="C1152" s="65"/>
      <c r="D1152" s="46"/>
      <c r="E1152" s="26"/>
      <c r="F1152" s="62">
        <f t="shared" ref="F1152:M1153" si="244">F1153</f>
        <v>590</v>
      </c>
      <c r="G1152" s="62">
        <f t="shared" si="244"/>
        <v>0</v>
      </c>
      <c r="H1152" s="49">
        <f t="shared" si="235"/>
        <v>590</v>
      </c>
      <c r="I1152" s="62">
        <f t="shared" si="244"/>
        <v>0</v>
      </c>
      <c r="J1152" s="49">
        <f t="shared" si="243"/>
        <v>590</v>
      </c>
      <c r="K1152" s="62">
        <f t="shared" si="244"/>
        <v>0</v>
      </c>
      <c r="L1152" s="49">
        <f t="shared" si="238"/>
        <v>590</v>
      </c>
      <c r="M1152" s="62">
        <f t="shared" si="244"/>
        <v>0</v>
      </c>
      <c r="N1152" s="49">
        <f t="shared" si="232"/>
        <v>590</v>
      </c>
    </row>
    <row r="1153" spans="1:14" x14ac:dyDescent="0.2">
      <c r="A1153" s="50" t="str">
        <f ca="1">IF(ISERROR(MATCH(C1153,Код_Раздел,0)),"",INDIRECT(ADDRESS(MATCH(C1153,Код_Раздел,0)+1,2,,,"Раздел")))</f>
        <v>Национальная безопасность и правоохранительная  деятельность</v>
      </c>
      <c r="B1153" s="79" t="s">
        <v>379</v>
      </c>
      <c r="C1153" s="65" t="s">
        <v>72</v>
      </c>
      <c r="D1153" s="46"/>
      <c r="E1153" s="26"/>
      <c r="F1153" s="62">
        <f t="shared" si="244"/>
        <v>590</v>
      </c>
      <c r="G1153" s="62">
        <f t="shared" si="244"/>
        <v>0</v>
      </c>
      <c r="H1153" s="49">
        <f t="shared" si="235"/>
        <v>590</v>
      </c>
      <c r="I1153" s="62">
        <f t="shared" si="244"/>
        <v>0</v>
      </c>
      <c r="J1153" s="49">
        <f t="shared" si="243"/>
        <v>590</v>
      </c>
      <c r="K1153" s="62">
        <f t="shared" si="244"/>
        <v>0</v>
      </c>
      <c r="L1153" s="49">
        <f t="shared" si="238"/>
        <v>590</v>
      </c>
      <c r="M1153" s="62">
        <f t="shared" si="244"/>
        <v>0</v>
      </c>
      <c r="N1153" s="49">
        <f t="shared" si="232"/>
        <v>590</v>
      </c>
    </row>
    <row r="1154" spans="1:14" ht="33" x14ac:dyDescent="0.2">
      <c r="A1154" s="45" t="s">
        <v>111</v>
      </c>
      <c r="B1154" s="79" t="s">
        <v>379</v>
      </c>
      <c r="C1154" s="65" t="s">
        <v>72</v>
      </c>
      <c r="D1154" s="46" t="s">
        <v>76</v>
      </c>
      <c r="E1154" s="26"/>
      <c r="F1154" s="62">
        <f>F1155</f>
        <v>590</v>
      </c>
      <c r="G1154" s="62">
        <f>G1155</f>
        <v>0</v>
      </c>
      <c r="H1154" s="49">
        <f t="shared" si="235"/>
        <v>590</v>
      </c>
      <c r="I1154" s="62">
        <f>I1155</f>
        <v>0</v>
      </c>
      <c r="J1154" s="49">
        <f t="shared" si="243"/>
        <v>590</v>
      </c>
      <c r="K1154" s="62">
        <f>K1155</f>
        <v>0</v>
      </c>
      <c r="L1154" s="49">
        <f t="shared" si="238"/>
        <v>590</v>
      </c>
      <c r="M1154" s="62">
        <f>M1155</f>
        <v>0</v>
      </c>
      <c r="N1154" s="49">
        <f t="shared" si="232"/>
        <v>590</v>
      </c>
    </row>
    <row r="1155" spans="1:14" ht="33" x14ac:dyDescent="0.2">
      <c r="A1155" s="50" t="str">
        <f ca="1">IF(ISERROR(MATCH(E1155,Код_КВР,0)),"",INDIRECT(ADDRESS(MATCH(E1155,Код_КВР,0)+1,2,,,"КВР")))</f>
        <v>Предоставление субсидий бюджетным, автономным учреждениям и иным некоммерческим организациям</v>
      </c>
      <c r="B1155" s="79" t="s">
        <v>379</v>
      </c>
      <c r="C1155" s="65" t="s">
        <v>72</v>
      </c>
      <c r="D1155" s="46" t="s">
        <v>76</v>
      </c>
      <c r="E1155" s="26">
        <v>600</v>
      </c>
      <c r="F1155" s="62">
        <f t="shared" ref="F1155:M1155" si="245">F1156</f>
        <v>590</v>
      </c>
      <c r="G1155" s="62">
        <f t="shared" si="245"/>
        <v>0</v>
      </c>
      <c r="H1155" s="49">
        <f t="shared" si="235"/>
        <v>590</v>
      </c>
      <c r="I1155" s="62">
        <f t="shared" si="245"/>
        <v>0</v>
      </c>
      <c r="J1155" s="49">
        <f t="shared" si="243"/>
        <v>590</v>
      </c>
      <c r="K1155" s="62">
        <f t="shared" si="245"/>
        <v>0</v>
      </c>
      <c r="L1155" s="49">
        <f t="shared" si="238"/>
        <v>590</v>
      </c>
      <c r="M1155" s="62">
        <f t="shared" si="245"/>
        <v>0</v>
      </c>
      <c r="N1155" s="49">
        <f t="shared" si="232"/>
        <v>590</v>
      </c>
    </row>
    <row r="1156" spans="1:14" x14ac:dyDescent="0.2">
      <c r="A1156" s="50" t="str">
        <f ca="1">IF(ISERROR(MATCH(E1156,Код_КВР,0)),"",INDIRECT(ADDRESS(MATCH(E1156,Код_КВР,0)+1,2,,,"КВР")))</f>
        <v>Субсидии бюджетным учреждениям</v>
      </c>
      <c r="B1156" s="79" t="s">
        <v>379</v>
      </c>
      <c r="C1156" s="65" t="s">
        <v>72</v>
      </c>
      <c r="D1156" s="46" t="s">
        <v>76</v>
      </c>
      <c r="E1156" s="26">
        <v>610</v>
      </c>
      <c r="F1156" s="62">
        <f>'прил. 8'!G167</f>
        <v>590</v>
      </c>
      <c r="G1156" s="62">
        <f>'прил. 8'!H167</f>
        <v>0</v>
      </c>
      <c r="H1156" s="49">
        <f t="shared" si="235"/>
        <v>590</v>
      </c>
      <c r="I1156" s="62">
        <f>'прил. 8'!J167</f>
        <v>0</v>
      </c>
      <c r="J1156" s="49">
        <f t="shared" si="243"/>
        <v>590</v>
      </c>
      <c r="K1156" s="62">
        <f>'прил. 8'!L167</f>
        <v>0</v>
      </c>
      <c r="L1156" s="49">
        <f t="shared" si="238"/>
        <v>590</v>
      </c>
      <c r="M1156" s="62">
        <f>'прил. 8'!N167</f>
        <v>0</v>
      </c>
      <c r="N1156" s="49">
        <f t="shared" si="232"/>
        <v>590</v>
      </c>
    </row>
    <row r="1157" spans="1:14" ht="33" x14ac:dyDescent="0.2">
      <c r="A1157" s="50" t="str">
        <f ca="1">IF(ISERROR(MATCH(B1157,Код_КЦСР,0)),"",INDIRECT(ADDRESS(MATCH(B1157,Код_КЦСР,0)+1,2,,,"КЦСР")))</f>
        <v>Организация и проведение обучения должностных лиц и специалистов ГО и ЧС</v>
      </c>
      <c r="B1157" s="79" t="s">
        <v>380</v>
      </c>
      <c r="C1157" s="65"/>
      <c r="D1157" s="46"/>
      <c r="E1157" s="26"/>
      <c r="F1157" s="62">
        <f>F1158+F1164</f>
        <v>594</v>
      </c>
      <c r="G1157" s="62">
        <f>G1158+G1164</f>
        <v>0</v>
      </c>
      <c r="H1157" s="49">
        <f t="shared" si="235"/>
        <v>594</v>
      </c>
      <c r="I1157" s="62">
        <f>I1158+I1164</f>
        <v>0</v>
      </c>
      <c r="J1157" s="49">
        <f t="shared" si="243"/>
        <v>594</v>
      </c>
      <c r="K1157" s="62">
        <f>K1158+K1164</f>
        <v>0</v>
      </c>
      <c r="L1157" s="49">
        <f t="shared" si="238"/>
        <v>594</v>
      </c>
      <c r="M1157" s="62">
        <f>M1158+M1164</f>
        <v>0</v>
      </c>
      <c r="N1157" s="49">
        <f t="shared" si="232"/>
        <v>594</v>
      </c>
    </row>
    <row r="1158" spans="1:14" x14ac:dyDescent="0.2">
      <c r="A1158" s="50" t="str">
        <f ca="1">IF(ISERROR(MATCH(C1158,Код_Раздел,0)),"",INDIRECT(ADDRESS(MATCH(C1158,Код_Раздел,0)+1,2,,,"Раздел")))</f>
        <v>Национальная безопасность и правоохранительная  деятельность</v>
      </c>
      <c r="B1158" s="79" t="s">
        <v>380</v>
      </c>
      <c r="C1158" s="65" t="s">
        <v>72</v>
      </c>
      <c r="D1158" s="46"/>
      <c r="E1158" s="26"/>
      <c r="F1158" s="62">
        <f t="shared" ref="F1158:M1158" si="246">F1159</f>
        <v>594</v>
      </c>
      <c r="G1158" s="62">
        <f t="shared" si="246"/>
        <v>0</v>
      </c>
      <c r="H1158" s="49">
        <f t="shared" si="235"/>
        <v>594</v>
      </c>
      <c r="I1158" s="62">
        <f t="shared" si="246"/>
        <v>0</v>
      </c>
      <c r="J1158" s="49">
        <f t="shared" si="243"/>
        <v>594</v>
      </c>
      <c r="K1158" s="62">
        <f t="shared" si="246"/>
        <v>0</v>
      </c>
      <c r="L1158" s="49">
        <f t="shared" si="238"/>
        <v>594</v>
      </c>
      <c r="M1158" s="62">
        <f t="shared" si="246"/>
        <v>0</v>
      </c>
      <c r="N1158" s="49">
        <f t="shared" si="232"/>
        <v>594</v>
      </c>
    </row>
    <row r="1159" spans="1:14" ht="33" x14ac:dyDescent="0.2">
      <c r="A1159" s="45" t="s">
        <v>111</v>
      </c>
      <c r="B1159" s="79" t="s">
        <v>380</v>
      </c>
      <c r="C1159" s="65" t="s">
        <v>72</v>
      </c>
      <c r="D1159" s="46" t="s">
        <v>76</v>
      </c>
      <c r="E1159" s="26"/>
      <c r="F1159" s="62">
        <f>F1160+F1162</f>
        <v>594</v>
      </c>
      <c r="G1159" s="62">
        <f>G1160+G1162</f>
        <v>0</v>
      </c>
      <c r="H1159" s="49">
        <f t="shared" si="235"/>
        <v>594</v>
      </c>
      <c r="I1159" s="62">
        <f>I1160+I1162</f>
        <v>0</v>
      </c>
      <c r="J1159" s="49">
        <f t="shared" si="243"/>
        <v>594</v>
      </c>
      <c r="K1159" s="62">
        <f>K1160+K1162</f>
        <v>0</v>
      </c>
      <c r="L1159" s="49">
        <f t="shared" si="238"/>
        <v>594</v>
      </c>
      <c r="M1159" s="62">
        <f>M1160+M1162</f>
        <v>0</v>
      </c>
      <c r="N1159" s="49">
        <f t="shared" si="232"/>
        <v>594</v>
      </c>
    </row>
    <row r="1160" spans="1:14" ht="49.5" x14ac:dyDescent="0.2">
      <c r="A1160" s="50" t="str">
        <f ca="1">IF(ISERROR(MATCH(E1160,Код_КВР,0)),"",INDIRECT(ADDRESS(MATCH(E1160,Код_КВР,0)+1,2,,,"КВР")))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60" s="79" t="s">
        <v>380</v>
      </c>
      <c r="C1160" s="65" t="s">
        <v>72</v>
      </c>
      <c r="D1160" s="46" t="s">
        <v>76</v>
      </c>
      <c r="E1160" s="26">
        <v>100</v>
      </c>
      <c r="F1160" s="62">
        <f>F1161</f>
        <v>565</v>
      </c>
      <c r="G1160" s="62">
        <f>G1161</f>
        <v>0</v>
      </c>
      <c r="H1160" s="49">
        <f t="shared" si="235"/>
        <v>565</v>
      </c>
      <c r="I1160" s="62">
        <f>I1161</f>
        <v>0</v>
      </c>
      <c r="J1160" s="49">
        <f t="shared" si="243"/>
        <v>565</v>
      </c>
      <c r="K1160" s="62">
        <f>K1161</f>
        <v>0</v>
      </c>
      <c r="L1160" s="49">
        <f t="shared" si="238"/>
        <v>565</v>
      </c>
      <c r="M1160" s="62">
        <f>M1161</f>
        <v>0</v>
      </c>
      <c r="N1160" s="49">
        <f t="shared" si="232"/>
        <v>565</v>
      </c>
    </row>
    <row r="1161" spans="1:14" x14ac:dyDescent="0.2">
      <c r="A1161" s="50" t="str">
        <f ca="1">IF(ISERROR(MATCH(E1161,Код_КВР,0)),"",INDIRECT(ADDRESS(MATCH(E1161,Код_КВР,0)+1,2,,,"КВР")))</f>
        <v>Расходы на выплаты персоналу казенных учреждений</v>
      </c>
      <c r="B1161" s="79" t="s">
        <v>380</v>
      </c>
      <c r="C1161" s="65" t="s">
        <v>72</v>
      </c>
      <c r="D1161" s="46" t="s">
        <v>76</v>
      </c>
      <c r="E1161" s="26">
        <v>110</v>
      </c>
      <c r="F1161" s="62">
        <f>'прил. 8'!G170</f>
        <v>565</v>
      </c>
      <c r="G1161" s="62">
        <f>'прил. 8'!H170</f>
        <v>0</v>
      </c>
      <c r="H1161" s="49">
        <f t="shared" si="235"/>
        <v>565</v>
      </c>
      <c r="I1161" s="62">
        <f>'прил. 8'!J170</f>
        <v>0</v>
      </c>
      <c r="J1161" s="49">
        <f t="shared" si="243"/>
        <v>565</v>
      </c>
      <c r="K1161" s="62">
        <f>'прил. 8'!L170</f>
        <v>0</v>
      </c>
      <c r="L1161" s="49">
        <f t="shared" si="238"/>
        <v>565</v>
      </c>
      <c r="M1161" s="62">
        <f>'прил. 8'!N170</f>
        <v>0</v>
      </c>
      <c r="N1161" s="49">
        <f t="shared" si="232"/>
        <v>565</v>
      </c>
    </row>
    <row r="1162" spans="1:14" ht="33" x14ac:dyDescent="0.2">
      <c r="A1162" s="50" t="str">
        <f ca="1">IF(ISERROR(MATCH(E1162,Код_КВР,0)),"",INDIRECT(ADDRESS(MATCH(E1162,Код_КВР,0)+1,2,,,"КВР")))</f>
        <v>Закупка товаров, работ и услуг для обеспечения государственных (муниципальных) нужд</v>
      </c>
      <c r="B1162" s="79" t="s">
        <v>380</v>
      </c>
      <c r="C1162" s="65" t="s">
        <v>72</v>
      </c>
      <c r="D1162" s="46" t="s">
        <v>76</v>
      </c>
      <c r="E1162" s="26">
        <v>200</v>
      </c>
      <c r="F1162" s="62">
        <f>F1163</f>
        <v>29</v>
      </c>
      <c r="G1162" s="62">
        <f>G1163</f>
        <v>0</v>
      </c>
      <c r="H1162" s="49">
        <f t="shared" si="235"/>
        <v>29</v>
      </c>
      <c r="I1162" s="62">
        <f>I1163</f>
        <v>0</v>
      </c>
      <c r="J1162" s="49">
        <f t="shared" si="243"/>
        <v>29</v>
      </c>
      <c r="K1162" s="62">
        <f>K1163</f>
        <v>0</v>
      </c>
      <c r="L1162" s="49">
        <f t="shared" si="238"/>
        <v>29</v>
      </c>
      <c r="M1162" s="62">
        <f>M1163</f>
        <v>0</v>
      </c>
      <c r="N1162" s="49">
        <f t="shared" si="232"/>
        <v>29</v>
      </c>
    </row>
    <row r="1163" spans="1:14" ht="33" x14ac:dyDescent="0.2">
      <c r="A1163" s="50" t="str">
        <f ca="1">IF(ISERROR(MATCH(E1163,Код_КВР,0)),"",INDIRECT(ADDRESS(MATCH(E1163,Код_КВР,0)+1,2,,,"КВР")))</f>
        <v>Иные закупки товаров, работ и услуг для обеспечения государственных (муниципальных) нужд</v>
      </c>
      <c r="B1163" s="79" t="s">
        <v>380</v>
      </c>
      <c r="C1163" s="65" t="s">
        <v>72</v>
      </c>
      <c r="D1163" s="46" t="s">
        <v>76</v>
      </c>
      <c r="E1163" s="26">
        <v>240</v>
      </c>
      <c r="F1163" s="62">
        <f>'прил. 8'!G172</f>
        <v>29</v>
      </c>
      <c r="G1163" s="62">
        <f>'прил. 8'!H172</f>
        <v>0</v>
      </c>
      <c r="H1163" s="49">
        <f t="shared" si="235"/>
        <v>29</v>
      </c>
      <c r="I1163" s="62">
        <f>'прил. 8'!J172</f>
        <v>0</v>
      </c>
      <c r="J1163" s="49">
        <f t="shared" si="243"/>
        <v>29</v>
      </c>
      <c r="K1163" s="62">
        <f>'прил. 8'!L172</f>
        <v>0</v>
      </c>
      <c r="L1163" s="49">
        <f t="shared" si="238"/>
        <v>29</v>
      </c>
      <c r="M1163" s="62">
        <f>'прил. 8'!N172</f>
        <v>0</v>
      </c>
      <c r="N1163" s="49">
        <f t="shared" si="232"/>
        <v>29</v>
      </c>
    </row>
    <row r="1164" spans="1:14" hidden="1" x14ac:dyDescent="0.2">
      <c r="A1164" s="50" t="str">
        <f ca="1">IF(ISERROR(MATCH(C1164,Код_Раздел,0)),"",INDIRECT(ADDRESS(MATCH(C1164,Код_Раздел,0)+1,2,,,"Раздел")))</f>
        <v>Образование</v>
      </c>
      <c r="B1164" s="79" t="s">
        <v>380</v>
      </c>
      <c r="C1164" s="65" t="s">
        <v>60</v>
      </c>
      <c r="D1164" s="46"/>
      <c r="E1164" s="26"/>
      <c r="F1164" s="62">
        <f t="shared" ref="F1164:M1166" si="247">F1165</f>
        <v>0</v>
      </c>
      <c r="G1164" s="62">
        <f t="shared" si="247"/>
        <v>0</v>
      </c>
      <c r="H1164" s="49">
        <f t="shared" si="235"/>
        <v>0</v>
      </c>
      <c r="I1164" s="62">
        <f t="shared" si="247"/>
        <v>0</v>
      </c>
      <c r="J1164" s="49">
        <f t="shared" si="243"/>
        <v>0</v>
      </c>
      <c r="K1164" s="62">
        <f t="shared" si="247"/>
        <v>0</v>
      </c>
      <c r="L1164" s="49">
        <f t="shared" si="238"/>
        <v>0</v>
      </c>
      <c r="M1164" s="62">
        <f t="shared" si="247"/>
        <v>0</v>
      </c>
      <c r="N1164" s="49">
        <f t="shared" si="232"/>
        <v>0</v>
      </c>
    </row>
    <row r="1165" spans="1:14" hidden="1" x14ac:dyDescent="0.2">
      <c r="A1165" s="45" t="s">
        <v>532</v>
      </c>
      <c r="B1165" s="79" t="s">
        <v>380</v>
      </c>
      <c r="C1165" s="65" t="s">
        <v>60</v>
      </c>
      <c r="D1165" s="46" t="s">
        <v>78</v>
      </c>
      <c r="E1165" s="26"/>
      <c r="F1165" s="62">
        <f t="shared" si="247"/>
        <v>0</v>
      </c>
      <c r="G1165" s="62">
        <f t="shared" si="247"/>
        <v>0</v>
      </c>
      <c r="H1165" s="49">
        <f t="shared" si="235"/>
        <v>0</v>
      </c>
      <c r="I1165" s="62">
        <f t="shared" si="247"/>
        <v>0</v>
      </c>
      <c r="J1165" s="49">
        <f t="shared" si="243"/>
        <v>0</v>
      </c>
      <c r="K1165" s="62">
        <f t="shared" si="247"/>
        <v>0</v>
      </c>
      <c r="L1165" s="49">
        <f t="shared" si="238"/>
        <v>0</v>
      </c>
      <c r="M1165" s="62">
        <f t="shared" si="247"/>
        <v>0</v>
      </c>
      <c r="N1165" s="49">
        <f t="shared" si="232"/>
        <v>0</v>
      </c>
    </row>
    <row r="1166" spans="1:14" ht="33" hidden="1" x14ac:dyDescent="0.2">
      <c r="A1166" s="50" t="str">
        <f ca="1">IF(ISERROR(MATCH(E1166,Код_КВР,0)),"",INDIRECT(ADDRESS(MATCH(E1166,Код_КВР,0)+1,2,,,"КВР")))</f>
        <v>Закупка товаров, работ и услуг для обеспечения государственных (муниципальных) нужд</v>
      </c>
      <c r="B1166" s="79" t="s">
        <v>380</v>
      </c>
      <c r="C1166" s="65" t="s">
        <v>60</v>
      </c>
      <c r="D1166" s="46" t="s">
        <v>78</v>
      </c>
      <c r="E1166" s="26">
        <v>200</v>
      </c>
      <c r="F1166" s="62">
        <f t="shared" si="247"/>
        <v>0</v>
      </c>
      <c r="G1166" s="62">
        <f t="shared" si="247"/>
        <v>0</v>
      </c>
      <c r="H1166" s="49">
        <f t="shared" si="235"/>
        <v>0</v>
      </c>
      <c r="I1166" s="62">
        <f t="shared" si="247"/>
        <v>0</v>
      </c>
      <c r="J1166" s="49">
        <f t="shared" si="243"/>
        <v>0</v>
      </c>
      <c r="K1166" s="62">
        <f t="shared" si="247"/>
        <v>0</v>
      </c>
      <c r="L1166" s="49">
        <f t="shared" si="238"/>
        <v>0</v>
      </c>
      <c r="M1166" s="62">
        <f t="shared" si="247"/>
        <v>0</v>
      </c>
      <c r="N1166" s="49">
        <f t="shared" si="232"/>
        <v>0</v>
      </c>
    </row>
    <row r="1167" spans="1:14" ht="33" hidden="1" x14ac:dyDescent="0.2">
      <c r="A1167" s="50" t="str">
        <f ca="1">IF(ISERROR(MATCH(E1167,Код_КВР,0)),"",INDIRECT(ADDRESS(MATCH(E1167,Код_КВР,0)+1,2,,,"КВР")))</f>
        <v>Иные закупки товаров, работ и услуг для обеспечения государственных (муниципальных) нужд</v>
      </c>
      <c r="B1167" s="79" t="s">
        <v>380</v>
      </c>
      <c r="C1167" s="65" t="s">
        <v>60</v>
      </c>
      <c r="D1167" s="46" t="s">
        <v>78</v>
      </c>
      <c r="E1167" s="26">
        <v>240</v>
      </c>
      <c r="F1167" s="62">
        <f>'прил. 8'!G310</f>
        <v>0</v>
      </c>
      <c r="G1167" s="62">
        <f>'прил. 8'!H310</f>
        <v>0</v>
      </c>
      <c r="H1167" s="49">
        <f t="shared" si="235"/>
        <v>0</v>
      </c>
      <c r="I1167" s="62">
        <f>'прил. 8'!J310</f>
        <v>0</v>
      </c>
      <c r="J1167" s="49">
        <f t="shared" si="243"/>
        <v>0</v>
      </c>
      <c r="K1167" s="62">
        <f>'прил. 8'!L310</f>
        <v>0</v>
      </c>
      <c r="L1167" s="49">
        <f t="shared" si="238"/>
        <v>0</v>
      </c>
      <c r="M1167" s="62">
        <f>'прил. 8'!N310</f>
        <v>0</v>
      </c>
      <c r="N1167" s="49">
        <f t="shared" si="232"/>
        <v>0</v>
      </c>
    </row>
    <row r="1168" spans="1:14" ht="37.5" customHeight="1" x14ac:dyDescent="0.2">
      <c r="A1168" s="50" t="str">
        <f ca="1">IF(ISERROR(MATCH(B1168,Код_КЦСР,0)),"",INDIRECT(ADDRESS(MATCH(B1168,Код_КЦСР,0)+1,2,,,"КЦСР")))</f>
        <v>Построение и развитие аппаратно-программного комплекса «Безопасный город» на территории города Череповца</v>
      </c>
      <c r="B1168" s="79" t="s">
        <v>459</v>
      </c>
      <c r="C1168" s="65"/>
      <c r="D1168" s="46"/>
      <c r="E1168" s="26"/>
      <c r="F1168" s="62">
        <f>F1169+F1174</f>
        <v>4096.6000000000004</v>
      </c>
      <c r="G1168" s="62">
        <f>G1169+G1174</f>
        <v>0</v>
      </c>
      <c r="H1168" s="49">
        <f t="shared" si="235"/>
        <v>4096.6000000000004</v>
      </c>
      <c r="I1168" s="62">
        <f>I1169+I1174</f>
        <v>0</v>
      </c>
      <c r="J1168" s="49">
        <f t="shared" si="243"/>
        <v>4096.6000000000004</v>
      </c>
      <c r="K1168" s="62">
        <f>K1169+K1174</f>
        <v>0</v>
      </c>
      <c r="L1168" s="49">
        <f t="shared" si="238"/>
        <v>4096.6000000000004</v>
      </c>
      <c r="M1168" s="62">
        <f>M1169+M1174</f>
        <v>0</v>
      </c>
      <c r="N1168" s="49">
        <f t="shared" si="232"/>
        <v>4096.6000000000004</v>
      </c>
    </row>
    <row r="1169" spans="1:14" ht="52.5" customHeight="1" x14ac:dyDescent="0.2">
      <c r="A1169" s="50" t="str">
        <f ca="1">IF(ISERROR(MATCH(B1169,Код_КЦСР,0)),"",INDIRECT(ADDRESS(MATCH(B1169,Код_КЦСР,0)+1,2,,,"КЦСР")))</f>
        <v>Выполнение мероприятий по созданию (реконструкции) и содержанию комплексной системы экстренного оповещения населения об угрозе возникновения или о возникновении чрезвычайных ситуаций</v>
      </c>
      <c r="B1169" s="79" t="s">
        <v>461</v>
      </c>
      <c r="C1169" s="65"/>
      <c r="D1169" s="46"/>
      <c r="E1169" s="26"/>
      <c r="F1169" s="62">
        <f t="shared" ref="F1169:M1172" si="248">F1170</f>
        <v>1854.2</v>
      </c>
      <c r="G1169" s="62">
        <f t="shared" si="248"/>
        <v>0</v>
      </c>
      <c r="H1169" s="49">
        <f t="shared" si="235"/>
        <v>1854.2</v>
      </c>
      <c r="I1169" s="62">
        <f t="shared" si="248"/>
        <v>0</v>
      </c>
      <c r="J1169" s="49">
        <f t="shared" si="243"/>
        <v>1854.2</v>
      </c>
      <c r="K1169" s="62">
        <f t="shared" si="248"/>
        <v>0</v>
      </c>
      <c r="L1169" s="49">
        <f t="shared" si="238"/>
        <v>1854.2</v>
      </c>
      <c r="M1169" s="62">
        <f t="shared" si="248"/>
        <v>0</v>
      </c>
      <c r="N1169" s="49">
        <f t="shared" si="232"/>
        <v>1854.2</v>
      </c>
    </row>
    <row r="1170" spans="1:14" ht="23.25" customHeight="1" x14ac:dyDescent="0.2">
      <c r="A1170" s="50" t="str">
        <f ca="1">IF(ISERROR(MATCH(C1170,Код_Раздел,0)),"",INDIRECT(ADDRESS(MATCH(C1170,Код_Раздел,0)+1,2,,,"Раздел")))</f>
        <v>Национальная безопасность и правоохранительная  деятельность</v>
      </c>
      <c r="B1170" s="79" t="s">
        <v>461</v>
      </c>
      <c r="C1170" s="65" t="s">
        <v>72</v>
      </c>
      <c r="D1170" s="46"/>
      <c r="E1170" s="26"/>
      <c r="F1170" s="62">
        <f t="shared" si="248"/>
        <v>1854.2</v>
      </c>
      <c r="G1170" s="62">
        <f t="shared" si="248"/>
        <v>0</v>
      </c>
      <c r="H1170" s="49">
        <f t="shared" si="235"/>
        <v>1854.2</v>
      </c>
      <c r="I1170" s="62">
        <f t="shared" si="248"/>
        <v>0</v>
      </c>
      <c r="J1170" s="49">
        <f t="shared" si="243"/>
        <v>1854.2</v>
      </c>
      <c r="K1170" s="62">
        <f t="shared" si="248"/>
        <v>0</v>
      </c>
      <c r="L1170" s="49">
        <f t="shared" si="238"/>
        <v>1854.2</v>
      </c>
      <c r="M1170" s="62">
        <f t="shared" si="248"/>
        <v>0</v>
      </c>
      <c r="N1170" s="49">
        <f t="shared" ref="N1170:N1233" si="249">L1170+M1170</f>
        <v>1854.2</v>
      </c>
    </row>
    <row r="1171" spans="1:14" ht="33" x14ac:dyDescent="0.2">
      <c r="A1171" s="45" t="s">
        <v>111</v>
      </c>
      <c r="B1171" s="79" t="s">
        <v>461</v>
      </c>
      <c r="C1171" s="65" t="s">
        <v>72</v>
      </c>
      <c r="D1171" s="46" t="s">
        <v>76</v>
      </c>
      <c r="E1171" s="26"/>
      <c r="F1171" s="62">
        <f t="shared" si="248"/>
        <v>1854.2</v>
      </c>
      <c r="G1171" s="62">
        <f t="shared" si="248"/>
        <v>0</v>
      </c>
      <c r="H1171" s="49">
        <f t="shared" si="235"/>
        <v>1854.2</v>
      </c>
      <c r="I1171" s="62">
        <f t="shared" si="248"/>
        <v>0</v>
      </c>
      <c r="J1171" s="49">
        <f t="shared" si="243"/>
        <v>1854.2</v>
      </c>
      <c r="K1171" s="62">
        <f t="shared" si="248"/>
        <v>0</v>
      </c>
      <c r="L1171" s="49">
        <f t="shared" si="238"/>
        <v>1854.2</v>
      </c>
      <c r="M1171" s="62">
        <f t="shared" si="248"/>
        <v>0</v>
      </c>
      <c r="N1171" s="49">
        <f t="shared" si="249"/>
        <v>1854.2</v>
      </c>
    </row>
    <row r="1172" spans="1:14" ht="33" x14ac:dyDescent="0.2">
      <c r="A1172" s="50" t="str">
        <f ca="1">IF(ISERROR(MATCH(E1172,Код_КВР,0)),"",INDIRECT(ADDRESS(MATCH(E1172,Код_КВР,0)+1,2,,,"КВР")))</f>
        <v>Закупка товаров, работ и услуг для обеспечения государственных (муниципальных) нужд</v>
      </c>
      <c r="B1172" s="79" t="s">
        <v>461</v>
      </c>
      <c r="C1172" s="65" t="s">
        <v>72</v>
      </c>
      <c r="D1172" s="46" t="s">
        <v>76</v>
      </c>
      <c r="E1172" s="26">
        <v>200</v>
      </c>
      <c r="F1172" s="62">
        <f t="shared" si="248"/>
        <v>1854.2</v>
      </c>
      <c r="G1172" s="62">
        <f t="shared" si="248"/>
        <v>0</v>
      </c>
      <c r="H1172" s="49">
        <f t="shared" si="235"/>
        <v>1854.2</v>
      </c>
      <c r="I1172" s="62">
        <f t="shared" si="248"/>
        <v>0</v>
      </c>
      <c r="J1172" s="49">
        <f t="shared" si="243"/>
        <v>1854.2</v>
      </c>
      <c r="K1172" s="62">
        <f t="shared" si="248"/>
        <v>0</v>
      </c>
      <c r="L1172" s="49">
        <f t="shared" si="238"/>
        <v>1854.2</v>
      </c>
      <c r="M1172" s="62">
        <f t="shared" si="248"/>
        <v>0</v>
      </c>
      <c r="N1172" s="49">
        <f t="shared" si="249"/>
        <v>1854.2</v>
      </c>
    </row>
    <row r="1173" spans="1:14" ht="33" x14ac:dyDescent="0.2">
      <c r="A1173" s="50" t="str">
        <f ca="1">IF(ISERROR(MATCH(E1173,Код_КВР,0)),"",INDIRECT(ADDRESS(MATCH(E1173,Код_КВР,0)+1,2,,,"КВР")))</f>
        <v>Иные закупки товаров, работ и услуг для обеспечения государственных (муниципальных) нужд</v>
      </c>
      <c r="B1173" s="79" t="s">
        <v>461</v>
      </c>
      <c r="C1173" s="65" t="s">
        <v>72</v>
      </c>
      <c r="D1173" s="46" t="s">
        <v>76</v>
      </c>
      <c r="E1173" s="26">
        <v>240</v>
      </c>
      <c r="F1173" s="62">
        <f>'прил. 8'!G176</f>
        <v>1854.2</v>
      </c>
      <c r="G1173" s="62">
        <f>'прил. 8'!H176</f>
        <v>0</v>
      </c>
      <c r="H1173" s="49">
        <f t="shared" si="235"/>
        <v>1854.2</v>
      </c>
      <c r="I1173" s="62">
        <f>'прил. 8'!J176</f>
        <v>0</v>
      </c>
      <c r="J1173" s="49">
        <f t="shared" si="243"/>
        <v>1854.2</v>
      </c>
      <c r="K1173" s="62">
        <f>'прил. 8'!L176</f>
        <v>0</v>
      </c>
      <c r="L1173" s="49">
        <f t="shared" si="238"/>
        <v>1854.2</v>
      </c>
      <c r="M1173" s="62">
        <f>'прил. 8'!N176</f>
        <v>0</v>
      </c>
      <c r="N1173" s="49">
        <f t="shared" si="249"/>
        <v>1854.2</v>
      </c>
    </row>
    <row r="1174" spans="1:14" ht="49.5" x14ac:dyDescent="0.2">
      <c r="A1174" s="50" t="str">
        <f ca="1">IF(ISERROR(MATCH(B1174,Код_КЦСР,0)),"",INDIRECT(ADDRESS(MATCH(B1174,Код_КЦСР,0)+1,2,,,"КЦСР")))</f>
        <v>Внедрение и (или) эксплуатация современных технических средств, направленных на предупреждение правонарушений и преступлений в общественных местах и на улицах</v>
      </c>
      <c r="B1174" s="79" t="s">
        <v>462</v>
      </c>
      <c r="C1174" s="65"/>
      <c r="D1174" s="46"/>
      <c r="E1174" s="26"/>
      <c r="F1174" s="62">
        <f>F1175+F1180</f>
        <v>2242.4</v>
      </c>
      <c r="G1174" s="62">
        <f>G1175+G1180</f>
        <v>0</v>
      </c>
      <c r="H1174" s="49">
        <f t="shared" si="235"/>
        <v>2242.4</v>
      </c>
      <c r="I1174" s="62">
        <f>I1175+I1180</f>
        <v>0</v>
      </c>
      <c r="J1174" s="49">
        <f t="shared" si="243"/>
        <v>2242.4</v>
      </c>
      <c r="K1174" s="62">
        <f>K1175+K1180</f>
        <v>0</v>
      </c>
      <c r="L1174" s="49">
        <f t="shared" si="238"/>
        <v>2242.4</v>
      </c>
      <c r="M1174" s="62">
        <f>M1175+M1180</f>
        <v>0</v>
      </c>
      <c r="N1174" s="49">
        <f t="shared" si="249"/>
        <v>2242.4</v>
      </c>
    </row>
    <row r="1175" spans="1:14" ht="66" x14ac:dyDescent="0.2">
      <c r="A1175" s="50" t="str">
        <f ca="1">IF(ISERROR(MATCH(B1175,Код_КЦСР,0)),"",INDIRECT(ADDRESS(MATCH(B1175,Код_КЦСР,0)+1,2,,,"КЦСР")))</f>
        <v>Внедрение и (или) эксплуатация современных технических средств, направленных на предупреждение правонарушений и преступлений в общественных местах и на улицах, в рамках софинансирования с областным бюджетом</v>
      </c>
      <c r="B1175" s="79" t="s">
        <v>463</v>
      </c>
      <c r="C1175" s="65"/>
      <c r="D1175" s="46"/>
      <c r="E1175" s="26"/>
      <c r="F1175" s="62">
        <f t="shared" ref="F1175:M1178" si="250">F1176</f>
        <v>142.4</v>
      </c>
      <c r="G1175" s="62">
        <f t="shared" si="250"/>
        <v>0</v>
      </c>
      <c r="H1175" s="49">
        <f t="shared" si="235"/>
        <v>142.4</v>
      </c>
      <c r="I1175" s="62">
        <f t="shared" si="250"/>
        <v>0</v>
      </c>
      <c r="J1175" s="49">
        <f t="shared" si="243"/>
        <v>142.4</v>
      </c>
      <c r="K1175" s="62">
        <f t="shared" si="250"/>
        <v>0</v>
      </c>
      <c r="L1175" s="49">
        <f t="shared" si="238"/>
        <v>142.4</v>
      </c>
      <c r="M1175" s="62">
        <f t="shared" si="250"/>
        <v>0</v>
      </c>
      <c r="N1175" s="49">
        <f t="shared" si="249"/>
        <v>142.4</v>
      </c>
    </row>
    <row r="1176" spans="1:14" x14ac:dyDescent="0.2">
      <c r="A1176" s="50" t="str">
        <f ca="1">IF(ISERROR(MATCH(C1176,Код_Раздел,0)),"",INDIRECT(ADDRESS(MATCH(C1176,Код_Раздел,0)+1,2,,,"Раздел")))</f>
        <v>Национальная экономика</v>
      </c>
      <c r="B1176" s="79" t="s">
        <v>463</v>
      </c>
      <c r="C1176" s="65" t="s">
        <v>73</v>
      </c>
      <c r="D1176" s="46"/>
      <c r="E1176" s="26"/>
      <c r="F1176" s="62">
        <f t="shared" si="250"/>
        <v>142.4</v>
      </c>
      <c r="G1176" s="62">
        <f t="shared" si="250"/>
        <v>0</v>
      </c>
      <c r="H1176" s="49">
        <f t="shared" si="235"/>
        <v>142.4</v>
      </c>
      <c r="I1176" s="62">
        <f t="shared" si="250"/>
        <v>0</v>
      </c>
      <c r="J1176" s="49">
        <f t="shared" si="243"/>
        <v>142.4</v>
      </c>
      <c r="K1176" s="62">
        <f t="shared" si="250"/>
        <v>0</v>
      </c>
      <c r="L1176" s="49">
        <f t="shared" si="238"/>
        <v>142.4</v>
      </c>
      <c r="M1176" s="62">
        <f t="shared" si="250"/>
        <v>0</v>
      </c>
      <c r="N1176" s="49">
        <f t="shared" si="249"/>
        <v>142.4</v>
      </c>
    </row>
    <row r="1177" spans="1:14" x14ac:dyDescent="0.2">
      <c r="A1177" s="45" t="s">
        <v>87</v>
      </c>
      <c r="B1177" s="79" t="s">
        <v>463</v>
      </c>
      <c r="C1177" s="65" t="s">
        <v>73</v>
      </c>
      <c r="D1177" s="46" t="s">
        <v>53</v>
      </c>
      <c r="E1177" s="26"/>
      <c r="F1177" s="62">
        <f t="shared" si="250"/>
        <v>142.4</v>
      </c>
      <c r="G1177" s="62">
        <f t="shared" si="250"/>
        <v>0</v>
      </c>
      <c r="H1177" s="49">
        <f t="shared" si="235"/>
        <v>142.4</v>
      </c>
      <c r="I1177" s="62">
        <f t="shared" si="250"/>
        <v>0</v>
      </c>
      <c r="J1177" s="49">
        <f t="shared" si="243"/>
        <v>142.4</v>
      </c>
      <c r="K1177" s="62">
        <f t="shared" si="250"/>
        <v>0</v>
      </c>
      <c r="L1177" s="49">
        <f t="shared" si="238"/>
        <v>142.4</v>
      </c>
      <c r="M1177" s="62">
        <f t="shared" si="250"/>
        <v>0</v>
      </c>
      <c r="N1177" s="49">
        <f t="shared" si="249"/>
        <v>142.4</v>
      </c>
    </row>
    <row r="1178" spans="1:14" ht="33" x14ac:dyDescent="0.2">
      <c r="A1178" s="50" t="str">
        <f ca="1">IF(ISERROR(MATCH(E1178,Код_КВР,0)),"",INDIRECT(ADDRESS(MATCH(E1178,Код_КВР,0)+1,2,,,"КВР")))</f>
        <v>Предоставление субсидий бюджетным, автономным учреждениям и иным некоммерческим организациям</v>
      </c>
      <c r="B1178" s="79" t="s">
        <v>463</v>
      </c>
      <c r="C1178" s="65" t="s">
        <v>73</v>
      </c>
      <c r="D1178" s="46" t="s">
        <v>53</v>
      </c>
      <c r="E1178" s="26">
        <v>600</v>
      </c>
      <c r="F1178" s="62">
        <f t="shared" si="250"/>
        <v>142.4</v>
      </c>
      <c r="G1178" s="62">
        <f t="shared" si="250"/>
        <v>0</v>
      </c>
      <c r="H1178" s="49">
        <f t="shared" si="235"/>
        <v>142.4</v>
      </c>
      <c r="I1178" s="62">
        <f t="shared" si="250"/>
        <v>0</v>
      </c>
      <c r="J1178" s="49">
        <f t="shared" si="243"/>
        <v>142.4</v>
      </c>
      <c r="K1178" s="62">
        <f t="shared" si="250"/>
        <v>0</v>
      </c>
      <c r="L1178" s="49">
        <f t="shared" si="238"/>
        <v>142.4</v>
      </c>
      <c r="M1178" s="62">
        <f t="shared" si="250"/>
        <v>0</v>
      </c>
      <c r="N1178" s="49">
        <f t="shared" si="249"/>
        <v>142.4</v>
      </c>
    </row>
    <row r="1179" spans="1:14" x14ac:dyDescent="0.2">
      <c r="A1179" s="50" t="str">
        <f ca="1">IF(ISERROR(MATCH(E1179,Код_КВР,0)),"",INDIRECT(ADDRESS(MATCH(E1179,Код_КВР,0)+1,2,,,"КВР")))</f>
        <v>Субсидии бюджетным учреждениям</v>
      </c>
      <c r="B1179" s="79" t="s">
        <v>463</v>
      </c>
      <c r="C1179" s="65" t="s">
        <v>73</v>
      </c>
      <c r="D1179" s="46" t="s">
        <v>53</v>
      </c>
      <c r="E1179" s="26">
        <v>610</v>
      </c>
      <c r="F1179" s="62">
        <f>'прил. 8'!G215</f>
        <v>142.4</v>
      </c>
      <c r="G1179" s="62">
        <f>'прил. 8'!H215</f>
        <v>0</v>
      </c>
      <c r="H1179" s="49">
        <f t="shared" si="235"/>
        <v>142.4</v>
      </c>
      <c r="I1179" s="62">
        <f>'прил. 8'!J215</f>
        <v>0</v>
      </c>
      <c r="J1179" s="49">
        <f t="shared" si="243"/>
        <v>142.4</v>
      </c>
      <c r="K1179" s="62">
        <f>'прил. 8'!L215</f>
        <v>0</v>
      </c>
      <c r="L1179" s="49">
        <f t="shared" si="238"/>
        <v>142.4</v>
      </c>
      <c r="M1179" s="62">
        <f>'прил. 8'!N215</f>
        <v>0</v>
      </c>
      <c r="N1179" s="49">
        <f t="shared" si="249"/>
        <v>142.4</v>
      </c>
    </row>
    <row r="1180" spans="1:14" ht="33" x14ac:dyDescent="0.2">
      <c r="A1180" s="50" t="str">
        <f ca="1">IF(ISERROR(MATCH(B1180,Код_КЦСР,0)),"",INDIRECT(ADDRESS(MATCH(B1180,Код_КЦСР,0)+1,2,,,"КЦСР")))</f>
        <v>Внедрение и (или) эксплуатация аппаратно-программного комплекса «Безопасный город», за счет средств областного бюджета</v>
      </c>
      <c r="B1180" s="79" t="s">
        <v>477</v>
      </c>
      <c r="C1180" s="65"/>
      <c r="D1180" s="46"/>
      <c r="E1180" s="26"/>
      <c r="F1180" s="62">
        <f t="shared" ref="F1180:M1183" si="251">F1181</f>
        <v>2100</v>
      </c>
      <c r="G1180" s="62">
        <f t="shared" si="251"/>
        <v>0</v>
      </c>
      <c r="H1180" s="49">
        <f t="shared" si="235"/>
        <v>2100</v>
      </c>
      <c r="I1180" s="62">
        <f t="shared" si="251"/>
        <v>0</v>
      </c>
      <c r="J1180" s="49">
        <f t="shared" si="243"/>
        <v>2100</v>
      </c>
      <c r="K1180" s="62">
        <f t="shared" si="251"/>
        <v>0</v>
      </c>
      <c r="L1180" s="49">
        <f t="shared" si="238"/>
        <v>2100</v>
      </c>
      <c r="M1180" s="62">
        <f t="shared" si="251"/>
        <v>0</v>
      </c>
      <c r="N1180" s="49">
        <f t="shared" si="249"/>
        <v>2100</v>
      </c>
    </row>
    <row r="1181" spans="1:14" x14ac:dyDescent="0.2">
      <c r="A1181" s="50" t="str">
        <f ca="1">IF(ISERROR(MATCH(C1181,Код_Раздел,0)),"",INDIRECT(ADDRESS(MATCH(C1181,Код_Раздел,0)+1,2,,,"Раздел")))</f>
        <v>Национальная экономика</v>
      </c>
      <c r="B1181" s="79" t="s">
        <v>477</v>
      </c>
      <c r="C1181" s="65" t="s">
        <v>73</v>
      </c>
      <c r="D1181" s="46"/>
      <c r="E1181" s="26"/>
      <c r="F1181" s="62">
        <f t="shared" si="251"/>
        <v>2100</v>
      </c>
      <c r="G1181" s="62">
        <f t="shared" si="251"/>
        <v>0</v>
      </c>
      <c r="H1181" s="49">
        <f t="shared" ref="H1181:H1246" si="252">F1181+G1181</f>
        <v>2100</v>
      </c>
      <c r="I1181" s="62">
        <f t="shared" si="251"/>
        <v>0</v>
      </c>
      <c r="J1181" s="49">
        <f t="shared" si="243"/>
        <v>2100</v>
      </c>
      <c r="K1181" s="62">
        <f t="shared" si="251"/>
        <v>0</v>
      </c>
      <c r="L1181" s="49">
        <f t="shared" si="238"/>
        <v>2100</v>
      </c>
      <c r="M1181" s="62">
        <f t="shared" si="251"/>
        <v>0</v>
      </c>
      <c r="N1181" s="49">
        <f t="shared" si="249"/>
        <v>2100</v>
      </c>
    </row>
    <row r="1182" spans="1:14" x14ac:dyDescent="0.2">
      <c r="A1182" s="45" t="s">
        <v>87</v>
      </c>
      <c r="B1182" s="79" t="s">
        <v>477</v>
      </c>
      <c r="C1182" s="65" t="s">
        <v>73</v>
      </c>
      <c r="D1182" s="46" t="s">
        <v>53</v>
      </c>
      <c r="E1182" s="26"/>
      <c r="F1182" s="62">
        <f t="shared" si="251"/>
        <v>2100</v>
      </c>
      <c r="G1182" s="62">
        <f t="shared" si="251"/>
        <v>0</v>
      </c>
      <c r="H1182" s="49">
        <f t="shared" si="252"/>
        <v>2100</v>
      </c>
      <c r="I1182" s="62">
        <f t="shared" si="251"/>
        <v>0</v>
      </c>
      <c r="J1182" s="49">
        <f t="shared" si="243"/>
        <v>2100</v>
      </c>
      <c r="K1182" s="62">
        <f t="shared" si="251"/>
        <v>0</v>
      </c>
      <c r="L1182" s="49">
        <f t="shared" si="238"/>
        <v>2100</v>
      </c>
      <c r="M1182" s="62">
        <f t="shared" si="251"/>
        <v>0</v>
      </c>
      <c r="N1182" s="49">
        <f t="shared" si="249"/>
        <v>2100</v>
      </c>
    </row>
    <row r="1183" spans="1:14" ht="33" x14ac:dyDescent="0.2">
      <c r="A1183" s="50" t="str">
        <f ca="1">IF(ISERROR(MATCH(E1183,Код_КВР,0)),"",INDIRECT(ADDRESS(MATCH(E1183,Код_КВР,0)+1,2,,,"КВР")))</f>
        <v>Предоставление субсидий бюджетным, автономным учреждениям и иным некоммерческим организациям</v>
      </c>
      <c r="B1183" s="79" t="s">
        <v>477</v>
      </c>
      <c r="C1183" s="65" t="s">
        <v>73</v>
      </c>
      <c r="D1183" s="46" t="s">
        <v>53</v>
      </c>
      <c r="E1183" s="26">
        <v>600</v>
      </c>
      <c r="F1183" s="62">
        <f t="shared" si="251"/>
        <v>2100</v>
      </c>
      <c r="G1183" s="62">
        <f t="shared" si="251"/>
        <v>0</v>
      </c>
      <c r="H1183" s="49">
        <f t="shared" si="252"/>
        <v>2100</v>
      </c>
      <c r="I1183" s="62">
        <f t="shared" si="251"/>
        <v>0</v>
      </c>
      <c r="J1183" s="49">
        <f t="shared" si="243"/>
        <v>2100</v>
      </c>
      <c r="K1183" s="62">
        <f t="shared" si="251"/>
        <v>0</v>
      </c>
      <c r="L1183" s="49">
        <f t="shared" si="238"/>
        <v>2100</v>
      </c>
      <c r="M1183" s="62">
        <f t="shared" si="251"/>
        <v>0</v>
      </c>
      <c r="N1183" s="49">
        <f t="shared" si="249"/>
        <v>2100</v>
      </c>
    </row>
    <row r="1184" spans="1:14" x14ac:dyDescent="0.2">
      <c r="A1184" s="50" t="str">
        <f ca="1">IF(ISERROR(MATCH(E1184,Код_КВР,0)),"",INDIRECT(ADDRESS(MATCH(E1184,Код_КВР,0)+1,2,,,"КВР")))</f>
        <v>Субсидии бюджетным учреждениям</v>
      </c>
      <c r="B1184" s="79" t="s">
        <v>477</v>
      </c>
      <c r="C1184" s="65" t="s">
        <v>73</v>
      </c>
      <c r="D1184" s="46" t="s">
        <v>53</v>
      </c>
      <c r="E1184" s="26">
        <v>610</v>
      </c>
      <c r="F1184" s="62">
        <f>'прил. 8'!G218</f>
        <v>2100</v>
      </c>
      <c r="G1184" s="62">
        <f>'прил. 8'!H218</f>
        <v>0</v>
      </c>
      <c r="H1184" s="49">
        <f t="shared" si="252"/>
        <v>2100</v>
      </c>
      <c r="I1184" s="62">
        <f>'прил. 8'!J218</f>
        <v>0</v>
      </c>
      <c r="J1184" s="49">
        <f t="shared" si="243"/>
        <v>2100</v>
      </c>
      <c r="K1184" s="62">
        <f>'прил. 8'!L218</f>
        <v>0</v>
      </c>
      <c r="L1184" s="49">
        <f t="shared" si="238"/>
        <v>2100</v>
      </c>
      <c r="M1184" s="62">
        <f>'прил. 8'!N218</f>
        <v>0</v>
      </c>
      <c r="N1184" s="49">
        <f t="shared" si="249"/>
        <v>2100</v>
      </c>
    </row>
    <row r="1185" spans="1:14" ht="33" x14ac:dyDescent="0.2">
      <c r="A1185" s="50" t="str">
        <f ca="1">IF(ISERROR(MATCH(B1185,Код_КЦСР,0)),"",INDIRECT(ADDRESS(MATCH(B1185,Код_КЦСР,0)+1,2,,,"КЦСР")))</f>
        <v>Муниципальная программа «Совершенствование муниципального управления в городе Череповце» на 2014 – 2020 годы</v>
      </c>
      <c r="B1185" s="79" t="s">
        <v>381</v>
      </c>
      <c r="C1185" s="65"/>
      <c r="D1185" s="46"/>
      <c r="E1185" s="26"/>
      <c r="F1185" s="62">
        <f>F1186+F1205+F1226+F1232</f>
        <v>176804.6</v>
      </c>
      <c r="G1185" s="62">
        <f>G1186+G1205+G1226+G1232</f>
        <v>0</v>
      </c>
      <c r="H1185" s="49">
        <f t="shared" si="252"/>
        <v>176804.6</v>
      </c>
      <c r="I1185" s="62">
        <f>I1186+I1205+I1226+I1232</f>
        <v>0</v>
      </c>
      <c r="J1185" s="49">
        <f t="shared" si="243"/>
        <v>176804.6</v>
      </c>
      <c r="K1185" s="62">
        <f>K1186+K1205+K1226+K1232</f>
        <v>5000</v>
      </c>
      <c r="L1185" s="49">
        <f t="shared" si="238"/>
        <v>181804.6</v>
      </c>
      <c r="M1185" s="62">
        <f>M1186+M1205+M1226+M1232</f>
        <v>-9.4</v>
      </c>
      <c r="N1185" s="49">
        <f t="shared" si="249"/>
        <v>181795.20000000001</v>
      </c>
    </row>
    <row r="1186" spans="1:14" ht="33" x14ac:dyDescent="0.2">
      <c r="A1186" s="50" t="str">
        <f ca="1">IF(ISERROR(MATCH(B1186,Код_КЦСР,0)),"",INDIRECT(ADDRESS(MATCH(B1186,Код_КЦСР,0)+1,2,,,"КЦСР")))</f>
        <v>Создание условий для обеспечения выполнения органами муниципальной власти своих полномочий</v>
      </c>
      <c r="B1186" s="79" t="s">
        <v>382</v>
      </c>
      <c r="C1186" s="65"/>
      <c r="D1186" s="46"/>
      <c r="E1186" s="26"/>
      <c r="F1186" s="62">
        <f>F1187+F1192</f>
        <v>90453.9</v>
      </c>
      <c r="G1186" s="62">
        <f>G1187+G1192</f>
        <v>0</v>
      </c>
      <c r="H1186" s="49">
        <f t="shared" si="252"/>
        <v>90453.9</v>
      </c>
      <c r="I1186" s="62">
        <f>I1187+I1192</f>
        <v>0</v>
      </c>
      <c r="J1186" s="49">
        <f t="shared" si="243"/>
        <v>90453.9</v>
      </c>
      <c r="K1186" s="62">
        <f>K1187+K1192</f>
        <v>0</v>
      </c>
      <c r="L1186" s="49">
        <f t="shared" si="238"/>
        <v>90453.9</v>
      </c>
      <c r="M1186" s="62">
        <f>M1187+M1192</f>
        <v>0</v>
      </c>
      <c r="N1186" s="49">
        <f t="shared" si="249"/>
        <v>90453.9</v>
      </c>
    </row>
    <row r="1187" spans="1:14" x14ac:dyDescent="0.2">
      <c r="A1187" s="50" t="str">
        <f ca="1">IF(ISERROR(MATCH(B1187,Код_КЦСР,0)),"",INDIRECT(ADDRESS(MATCH(B1187,Код_КЦСР,0)+1,2,,,"КЦСР")))</f>
        <v>Обеспечение работы СЭД «Летограф»</v>
      </c>
      <c r="B1187" s="79" t="s">
        <v>383</v>
      </c>
      <c r="C1187" s="65"/>
      <c r="D1187" s="46"/>
      <c r="E1187" s="26"/>
      <c r="F1187" s="62">
        <f t="shared" ref="F1187:M1190" si="253">F1188</f>
        <v>148.5</v>
      </c>
      <c r="G1187" s="62">
        <f t="shared" si="253"/>
        <v>0</v>
      </c>
      <c r="H1187" s="49">
        <f t="shared" si="252"/>
        <v>148.5</v>
      </c>
      <c r="I1187" s="62">
        <f t="shared" si="253"/>
        <v>0</v>
      </c>
      <c r="J1187" s="49">
        <f t="shared" si="243"/>
        <v>148.5</v>
      </c>
      <c r="K1187" s="62">
        <f t="shared" si="253"/>
        <v>0</v>
      </c>
      <c r="L1187" s="49">
        <f t="shared" si="238"/>
        <v>148.5</v>
      </c>
      <c r="M1187" s="62">
        <f t="shared" si="253"/>
        <v>0</v>
      </c>
      <c r="N1187" s="49">
        <f t="shared" si="249"/>
        <v>148.5</v>
      </c>
    </row>
    <row r="1188" spans="1:14" x14ac:dyDescent="0.2">
      <c r="A1188" s="50" t="str">
        <f ca="1">IF(ISERROR(MATCH(C1188,Код_Раздел,0)),"",INDIRECT(ADDRESS(MATCH(C1188,Код_Раздел,0)+1,2,,,"Раздел")))</f>
        <v>Национальная экономика</v>
      </c>
      <c r="B1188" s="79" t="s">
        <v>383</v>
      </c>
      <c r="C1188" s="65" t="s">
        <v>73</v>
      </c>
      <c r="D1188" s="46"/>
      <c r="E1188" s="26"/>
      <c r="F1188" s="62">
        <f t="shared" si="253"/>
        <v>148.5</v>
      </c>
      <c r="G1188" s="62">
        <f t="shared" si="253"/>
        <v>0</v>
      </c>
      <c r="H1188" s="49">
        <f t="shared" si="252"/>
        <v>148.5</v>
      </c>
      <c r="I1188" s="62">
        <f t="shared" si="253"/>
        <v>0</v>
      </c>
      <c r="J1188" s="49">
        <f t="shared" si="243"/>
        <v>148.5</v>
      </c>
      <c r="K1188" s="62">
        <f t="shared" si="253"/>
        <v>0</v>
      </c>
      <c r="L1188" s="49">
        <f t="shared" si="238"/>
        <v>148.5</v>
      </c>
      <c r="M1188" s="62">
        <f t="shared" si="253"/>
        <v>0</v>
      </c>
      <c r="N1188" s="49">
        <f t="shared" si="249"/>
        <v>148.5</v>
      </c>
    </row>
    <row r="1189" spans="1:14" x14ac:dyDescent="0.2">
      <c r="A1189" s="45" t="s">
        <v>87</v>
      </c>
      <c r="B1189" s="79" t="s">
        <v>383</v>
      </c>
      <c r="C1189" s="65" t="s">
        <v>73</v>
      </c>
      <c r="D1189" s="46" t="s">
        <v>53</v>
      </c>
      <c r="E1189" s="26"/>
      <c r="F1189" s="62">
        <f t="shared" si="253"/>
        <v>148.5</v>
      </c>
      <c r="G1189" s="62">
        <f t="shared" si="253"/>
        <v>0</v>
      </c>
      <c r="H1189" s="49">
        <f t="shared" si="252"/>
        <v>148.5</v>
      </c>
      <c r="I1189" s="62">
        <f t="shared" si="253"/>
        <v>0</v>
      </c>
      <c r="J1189" s="49">
        <f t="shared" si="243"/>
        <v>148.5</v>
      </c>
      <c r="K1189" s="62">
        <f t="shared" si="253"/>
        <v>0</v>
      </c>
      <c r="L1189" s="49">
        <f t="shared" si="238"/>
        <v>148.5</v>
      </c>
      <c r="M1189" s="62">
        <f t="shared" si="253"/>
        <v>0</v>
      </c>
      <c r="N1189" s="49">
        <f t="shared" si="249"/>
        <v>148.5</v>
      </c>
    </row>
    <row r="1190" spans="1:14" ht="33" x14ac:dyDescent="0.2">
      <c r="A1190" s="50" t="str">
        <f ca="1">IF(ISERROR(MATCH(E1190,Код_КВР,0)),"",INDIRECT(ADDRESS(MATCH(E1190,Код_КВР,0)+1,2,,,"КВР")))</f>
        <v>Предоставление субсидий бюджетным, автономным учреждениям и иным некоммерческим организациям</v>
      </c>
      <c r="B1190" s="79" t="s">
        <v>383</v>
      </c>
      <c r="C1190" s="65" t="s">
        <v>73</v>
      </c>
      <c r="D1190" s="46" t="s">
        <v>53</v>
      </c>
      <c r="E1190" s="26">
        <v>600</v>
      </c>
      <c r="F1190" s="62">
        <f t="shared" si="253"/>
        <v>148.5</v>
      </c>
      <c r="G1190" s="62">
        <f t="shared" si="253"/>
        <v>0</v>
      </c>
      <c r="H1190" s="49">
        <f t="shared" si="252"/>
        <v>148.5</v>
      </c>
      <c r="I1190" s="62">
        <f t="shared" si="253"/>
        <v>0</v>
      </c>
      <c r="J1190" s="49">
        <f t="shared" si="243"/>
        <v>148.5</v>
      </c>
      <c r="K1190" s="62">
        <f t="shared" si="253"/>
        <v>0</v>
      </c>
      <c r="L1190" s="49">
        <f t="shared" si="238"/>
        <v>148.5</v>
      </c>
      <c r="M1190" s="62">
        <f t="shared" si="253"/>
        <v>0</v>
      </c>
      <c r="N1190" s="49">
        <f t="shared" si="249"/>
        <v>148.5</v>
      </c>
    </row>
    <row r="1191" spans="1:14" x14ac:dyDescent="0.2">
      <c r="A1191" s="50" t="str">
        <f ca="1">IF(ISERROR(MATCH(E1191,Код_КВР,0)),"",INDIRECT(ADDRESS(MATCH(E1191,Код_КВР,0)+1,2,,,"КВР")))</f>
        <v>Субсидии бюджетным учреждениям</v>
      </c>
      <c r="B1191" s="79" t="s">
        <v>383</v>
      </c>
      <c r="C1191" s="65" t="s">
        <v>73</v>
      </c>
      <c r="D1191" s="46" t="s">
        <v>53</v>
      </c>
      <c r="E1191" s="26">
        <v>610</v>
      </c>
      <c r="F1191" s="62">
        <f>'прил. 8'!G223</f>
        <v>148.5</v>
      </c>
      <c r="G1191" s="62">
        <f>'прил. 8'!H223</f>
        <v>0</v>
      </c>
      <c r="H1191" s="49">
        <f t="shared" si="252"/>
        <v>148.5</v>
      </c>
      <c r="I1191" s="62">
        <f>'прил. 8'!J223</f>
        <v>0</v>
      </c>
      <c r="J1191" s="49">
        <f t="shared" si="243"/>
        <v>148.5</v>
      </c>
      <c r="K1191" s="62">
        <f>'прил. 8'!L223</f>
        <v>0</v>
      </c>
      <c r="L1191" s="49">
        <f t="shared" si="238"/>
        <v>148.5</v>
      </c>
      <c r="M1191" s="62">
        <f>'прил. 8'!N223</f>
        <v>0</v>
      </c>
      <c r="N1191" s="49">
        <f t="shared" si="249"/>
        <v>148.5</v>
      </c>
    </row>
    <row r="1192" spans="1:14" ht="33" x14ac:dyDescent="0.2">
      <c r="A1192" s="50" t="str">
        <f ca="1">IF(ISERROR(MATCH(B1192,Код_КЦСР,0)),"",INDIRECT(ADDRESS(MATCH(B1192,Код_КЦСР,0)+1,2,,,"КЦСР")))</f>
        <v>Материально-техническое обеспечение деятельности муниципальных служащих органов местного самоуправления</v>
      </c>
      <c r="B1192" s="79" t="s">
        <v>384</v>
      </c>
      <c r="C1192" s="65"/>
      <c r="D1192" s="46"/>
      <c r="E1192" s="26"/>
      <c r="F1192" s="62">
        <f>F1193+F1201</f>
        <v>90305.4</v>
      </c>
      <c r="G1192" s="62">
        <f>G1193+G1201</f>
        <v>0</v>
      </c>
      <c r="H1192" s="49">
        <f t="shared" si="252"/>
        <v>90305.4</v>
      </c>
      <c r="I1192" s="62">
        <f>I1193+I1201</f>
        <v>0</v>
      </c>
      <c r="J1192" s="49">
        <f t="shared" si="243"/>
        <v>90305.4</v>
      </c>
      <c r="K1192" s="62">
        <f>K1193+K1201</f>
        <v>0</v>
      </c>
      <c r="L1192" s="49">
        <f t="shared" ref="L1192:L1255" si="254">J1192+K1192</f>
        <v>90305.4</v>
      </c>
      <c r="M1192" s="62">
        <f>M1193+M1201</f>
        <v>0</v>
      </c>
      <c r="N1192" s="49">
        <f t="shared" si="249"/>
        <v>90305.4</v>
      </c>
    </row>
    <row r="1193" spans="1:14" x14ac:dyDescent="0.2">
      <c r="A1193" s="50" t="str">
        <f ca="1">IF(ISERROR(MATCH(C1193,Код_Раздел,0)),"",INDIRECT(ADDRESS(MATCH(C1193,Код_Раздел,0)+1,2,,,"Раздел")))</f>
        <v>Общегосударственные вопросы</v>
      </c>
      <c r="B1193" s="79" t="s">
        <v>384</v>
      </c>
      <c r="C1193" s="65" t="s">
        <v>70</v>
      </c>
      <c r="D1193" s="46"/>
      <c r="E1193" s="26"/>
      <c r="F1193" s="62">
        <f>F1194</f>
        <v>90289.4</v>
      </c>
      <c r="G1193" s="62">
        <f>G1194</f>
        <v>0</v>
      </c>
      <c r="H1193" s="49">
        <f t="shared" si="252"/>
        <v>90289.4</v>
      </c>
      <c r="I1193" s="62">
        <f>I1194</f>
        <v>0</v>
      </c>
      <c r="J1193" s="49">
        <f t="shared" si="243"/>
        <v>90289.4</v>
      </c>
      <c r="K1193" s="62">
        <f>K1194</f>
        <v>-15</v>
      </c>
      <c r="L1193" s="49">
        <f t="shared" si="254"/>
        <v>90274.4</v>
      </c>
      <c r="M1193" s="62">
        <f>M1194</f>
        <v>0</v>
      </c>
      <c r="N1193" s="49">
        <f t="shared" si="249"/>
        <v>90274.4</v>
      </c>
    </row>
    <row r="1194" spans="1:14" x14ac:dyDescent="0.2">
      <c r="A1194" s="45" t="s">
        <v>91</v>
      </c>
      <c r="B1194" s="79" t="s">
        <v>384</v>
      </c>
      <c r="C1194" s="65" t="s">
        <v>70</v>
      </c>
      <c r="D1194" s="46" t="s">
        <v>55</v>
      </c>
      <c r="E1194" s="26"/>
      <c r="F1194" s="62">
        <f>F1195+F1197+F1199</f>
        <v>90289.4</v>
      </c>
      <c r="G1194" s="62">
        <f>G1195+G1197+G1199</f>
        <v>0</v>
      </c>
      <c r="H1194" s="49">
        <f t="shared" si="252"/>
        <v>90289.4</v>
      </c>
      <c r="I1194" s="62">
        <f>I1195+I1197+I1199</f>
        <v>0</v>
      </c>
      <c r="J1194" s="49">
        <f t="shared" si="243"/>
        <v>90289.4</v>
      </c>
      <c r="K1194" s="62">
        <f>K1195+K1197+K1199</f>
        <v>-15</v>
      </c>
      <c r="L1194" s="49">
        <f t="shared" si="254"/>
        <v>90274.4</v>
      </c>
      <c r="M1194" s="62">
        <f>M1195+M1197+M1199</f>
        <v>0</v>
      </c>
      <c r="N1194" s="49">
        <f t="shared" si="249"/>
        <v>90274.4</v>
      </c>
    </row>
    <row r="1195" spans="1:14" ht="49.5" x14ac:dyDescent="0.2">
      <c r="A1195" s="50" t="str">
        <f t="shared" ref="A1195:A1200" ca="1" si="255">IF(ISERROR(MATCH(E1195,Код_КВР,0)),"",INDIRECT(ADDRESS(MATCH(E1195,Код_КВР,0)+1,2,,,"КВР")))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95" s="79" t="s">
        <v>384</v>
      </c>
      <c r="C1195" s="65" t="s">
        <v>70</v>
      </c>
      <c r="D1195" s="46" t="s">
        <v>55</v>
      </c>
      <c r="E1195" s="26">
        <v>100</v>
      </c>
      <c r="F1195" s="62">
        <f>F1196</f>
        <v>54246.9</v>
      </c>
      <c r="G1195" s="62">
        <f>G1196</f>
        <v>0</v>
      </c>
      <c r="H1195" s="49">
        <f t="shared" si="252"/>
        <v>54246.9</v>
      </c>
      <c r="I1195" s="62">
        <f>I1196</f>
        <v>0</v>
      </c>
      <c r="J1195" s="49">
        <f t="shared" si="243"/>
        <v>54246.9</v>
      </c>
      <c r="K1195" s="62">
        <f>K1196</f>
        <v>0</v>
      </c>
      <c r="L1195" s="49">
        <f t="shared" si="254"/>
        <v>54246.9</v>
      </c>
      <c r="M1195" s="62">
        <f>M1196</f>
        <v>0</v>
      </c>
      <c r="N1195" s="49">
        <f t="shared" si="249"/>
        <v>54246.9</v>
      </c>
    </row>
    <row r="1196" spans="1:14" x14ac:dyDescent="0.2">
      <c r="A1196" s="50" t="str">
        <f t="shared" ca="1" si="255"/>
        <v>Расходы на выплаты персоналу казенных учреждений</v>
      </c>
      <c r="B1196" s="79" t="s">
        <v>384</v>
      </c>
      <c r="C1196" s="65" t="s">
        <v>70</v>
      </c>
      <c r="D1196" s="46" t="s">
        <v>55</v>
      </c>
      <c r="E1196" s="26">
        <v>110</v>
      </c>
      <c r="F1196" s="62">
        <f>'прил. 8'!G79</f>
        <v>54246.9</v>
      </c>
      <c r="G1196" s="62">
        <f>'прил. 8'!H79</f>
        <v>0</v>
      </c>
      <c r="H1196" s="49">
        <f t="shared" si="252"/>
        <v>54246.9</v>
      </c>
      <c r="I1196" s="62">
        <f>'прил. 8'!J79</f>
        <v>0</v>
      </c>
      <c r="J1196" s="49">
        <f t="shared" si="243"/>
        <v>54246.9</v>
      </c>
      <c r="K1196" s="62">
        <f>'прил. 8'!L79</f>
        <v>0</v>
      </c>
      <c r="L1196" s="49">
        <f t="shared" si="254"/>
        <v>54246.9</v>
      </c>
      <c r="M1196" s="62">
        <f>'прил. 8'!N79</f>
        <v>0</v>
      </c>
      <c r="N1196" s="49">
        <f t="shared" si="249"/>
        <v>54246.9</v>
      </c>
    </row>
    <row r="1197" spans="1:14" ht="33" x14ac:dyDescent="0.2">
      <c r="A1197" s="50" t="str">
        <f t="shared" ca="1" si="255"/>
        <v>Закупка товаров, работ и услуг для обеспечения государственных (муниципальных) нужд</v>
      </c>
      <c r="B1197" s="79" t="s">
        <v>384</v>
      </c>
      <c r="C1197" s="65" t="s">
        <v>70</v>
      </c>
      <c r="D1197" s="46" t="s">
        <v>55</v>
      </c>
      <c r="E1197" s="26">
        <v>200</v>
      </c>
      <c r="F1197" s="62">
        <f>F1198</f>
        <v>33484</v>
      </c>
      <c r="G1197" s="62">
        <f>G1198</f>
        <v>0</v>
      </c>
      <c r="H1197" s="49">
        <f t="shared" si="252"/>
        <v>33484</v>
      </c>
      <c r="I1197" s="62">
        <f>I1198</f>
        <v>0</v>
      </c>
      <c r="J1197" s="49">
        <f t="shared" si="243"/>
        <v>33484</v>
      </c>
      <c r="K1197" s="62">
        <f>K1198</f>
        <v>-15</v>
      </c>
      <c r="L1197" s="49">
        <f t="shared" si="254"/>
        <v>33469</v>
      </c>
      <c r="M1197" s="62">
        <f>M1198</f>
        <v>0</v>
      </c>
      <c r="N1197" s="49">
        <f t="shared" si="249"/>
        <v>33469</v>
      </c>
    </row>
    <row r="1198" spans="1:14" ht="33" x14ac:dyDescent="0.2">
      <c r="A1198" s="50" t="str">
        <f t="shared" ca="1" si="255"/>
        <v>Иные закупки товаров, работ и услуг для обеспечения государственных (муниципальных) нужд</v>
      </c>
      <c r="B1198" s="79" t="s">
        <v>384</v>
      </c>
      <c r="C1198" s="65" t="s">
        <v>70</v>
      </c>
      <c r="D1198" s="46" t="s">
        <v>55</v>
      </c>
      <c r="E1198" s="26">
        <v>240</v>
      </c>
      <c r="F1198" s="62">
        <f>'прил. 8'!G81</f>
        <v>33484</v>
      </c>
      <c r="G1198" s="62">
        <f>'прил. 8'!H81</f>
        <v>0</v>
      </c>
      <c r="H1198" s="49">
        <f t="shared" si="252"/>
        <v>33484</v>
      </c>
      <c r="I1198" s="62">
        <f>'прил. 8'!J81</f>
        <v>0</v>
      </c>
      <c r="J1198" s="49">
        <f t="shared" si="243"/>
        <v>33484</v>
      </c>
      <c r="K1198" s="62">
        <f>'прил. 8'!L81</f>
        <v>-15</v>
      </c>
      <c r="L1198" s="49">
        <f t="shared" si="254"/>
        <v>33469</v>
      </c>
      <c r="M1198" s="62">
        <f>'прил. 8'!N81</f>
        <v>0</v>
      </c>
      <c r="N1198" s="49">
        <f t="shared" si="249"/>
        <v>33469</v>
      </c>
    </row>
    <row r="1199" spans="1:14" x14ac:dyDescent="0.2">
      <c r="A1199" s="50" t="str">
        <f t="shared" ca="1" si="255"/>
        <v>Иные бюджетные ассигнования</v>
      </c>
      <c r="B1199" s="79" t="s">
        <v>384</v>
      </c>
      <c r="C1199" s="65" t="s">
        <v>70</v>
      </c>
      <c r="D1199" s="46" t="s">
        <v>55</v>
      </c>
      <c r="E1199" s="26">
        <v>800</v>
      </c>
      <c r="F1199" s="62">
        <f>F1200</f>
        <v>2558.5</v>
      </c>
      <c r="G1199" s="62">
        <f>G1200</f>
        <v>0</v>
      </c>
      <c r="H1199" s="49">
        <f t="shared" si="252"/>
        <v>2558.5</v>
      </c>
      <c r="I1199" s="62">
        <f>I1200</f>
        <v>0</v>
      </c>
      <c r="J1199" s="49">
        <f t="shared" si="243"/>
        <v>2558.5</v>
      </c>
      <c r="K1199" s="62">
        <f>K1200</f>
        <v>0</v>
      </c>
      <c r="L1199" s="49">
        <f t="shared" si="254"/>
        <v>2558.5</v>
      </c>
      <c r="M1199" s="62">
        <f>M1200</f>
        <v>0</v>
      </c>
      <c r="N1199" s="49">
        <f t="shared" si="249"/>
        <v>2558.5</v>
      </c>
    </row>
    <row r="1200" spans="1:14" x14ac:dyDescent="0.2">
      <c r="A1200" s="50" t="str">
        <f t="shared" ca="1" si="255"/>
        <v>Уплата налогов, сборов и иных платежей</v>
      </c>
      <c r="B1200" s="79" t="s">
        <v>384</v>
      </c>
      <c r="C1200" s="65" t="s">
        <v>70</v>
      </c>
      <c r="D1200" s="46" t="s">
        <v>55</v>
      </c>
      <c r="E1200" s="26">
        <v>850</v>
      </c>
      <c r="F1200" s="62">
        <f>'прил. 8'!G83</f>
        <v>2558.5</v>
      </c>
      <c r="G1200" s="62">
        <f>'прил. 8'!H83</f>
        <v>0</v>
      </c>
      <c r="H1200" s="49">
        <f t="shared" si="252"/>
        <v>2558.5</v>
      </c>
      <c r="I1200" s="62">
        <f>'прил. 8'!J83</f>
        <v>0</v>
      </c>
      <c r="J1200" s="49">
        <f t="shared" si="243"/>
        <v>2558.5</v>
      </c>
      <c r="K1200" s="62">
        <f>'прил. 8'!L83</f>
        <v>0</v>
      </c>
      <c r="L1200" s="49">
        <f t="shared" si="254"/>
        <v>2558.5</v>
      </c>
      <c r="M1200" s="62">
        <f>'прил. 8'!N83</f>
        <v>0</v>
      </c>
      <c r="N1200" s="49">
        <f t="shared" si="249"/>
        <v>2558.5</v>
      </c>
    </row>
    <row r="1201" spans="1:14" x14ac:dyDescent="0.2">
      <c r="A1201" s="50" t="str">
        <f ca="1">IF(ISERROR(MATCH(C1201,Код_Раздел,0)),"",INDIRECT(ADDRESS(MATCH(C1201,Код_Раздел,0)+1,2,,,"Раздел")))</f>
        <v>Образование</v>
      </c>
      <c r="B1201" s="79" t="s">
        <v>384</v>
      </c>
      <c r="C1201" s="65" t="s">
        <v>60</v>
      </c>
      <c r="D1201" s="46"/>
      <c r="E1201" s="26"/>
      <c r="F1201" s="62">
        <f t="shared" ref="F1201:M1203" si="256">F1202</f>
        <v>16</v>
      </c>
      <c r="G1201" s="62">
        <f t="shared" si="256"/>
        <v>0</v>
      </c>
      <c r="H1201" s="49">
        <f t="shared" si="252"/>
        <v>16</v>
      </c>
      <c r="I1201" s="62">
        <f t="shared" si="256"/>
        <v>0</v>
      </c>
      <c r="J1201" s="49">
        <f t="shared" si="243"/>
        <v>16</v>
      </c>
      <c r="K1201" s="62">
        <f t="shared" si="256"/>
        <v>15</v>
      </c>
      <c r="L1201" s="49">
        <f t="shared" si="254"/>
        <v>31</v>
      </c>
      <c r="M1201" s="62">
        <f t="shared" si="256"/>
        <v>0</v>
      </c>
      <c r="N1201" s="49">
        <f t="shared" si="249"/>
        <v>31</v>
      </c>
    </row>
    <row r="1202" spans="1:14" x14ac:dyDescent="0.2">
      <c r="A1202" s="45" t="s">
        <v>532</v>
      </c>
      <c r="B1202" s="79" t="s">
        <v>384</v>
      </c>
      <c r="C1202" s="65" t="s">
        <v>60</v>
      </c>
      <c r="D1202" s="46" t="s">
        <v>78</v>
      </c>
      <c r="E1202" s="26"/>
      <c r="F1202" s="62">
        <f t="shared" si="256"/>
        <v>16</v>
      </c>
      <c r="G1202" s="62">
        <f t="shared" si="256"/>
        <v>0</v>
      </c>
      <c r="H1202" s="49">
        <f t="shared" si="252"/>
        <v>16</v>
      </c>
      <c r="I1202" s="62">
        <f t="shared" si="256"/>
        <v>0</v>
      </c>
      <c r="J1202" s="49">
        <f t="shared" si="243"/>
        <v>16</v>
      </c>
      <c r="K1202" s="62">
        <f t="shared" si="256"/>
        <v>15</v>
      </c>
      <c r="L1202" s="49">
        <f t="shared" si="254"/>
        <v>31</v>
      </c>
      <c r="M1202" s="62">
        <f t="shared" si="256"/>
        <v>0</v>
      </c>
      <c r="N1202" s="49">
        <f t="shared" si="249"/>
        <v>31</v>
      </c>
    </row>
    <row r="1203" spans="1:14" ht="33" x14ac:dyDescent="0.2">
      <c r="A1203" s="50" t="str">
        <f ca="1">IF(ISERROR(MATCH(E1203,Код_КВР,0)),"",INDIRECT(ADDRESS(MATCH(E1203,Код_КВР,0)+1,2,,,"КВР")))</f>
        <v>Закупка товаров, работ и услуг для обеспечения государственных (муниципальных) нужд</v>
      </c>
      <c r="B1203" s="79" t="s">
        <v>384</v>
      </c>
      <c r="C1203" s="65" t="s">
        <v>60</v>
      </c>
      <c r="D1203" s="46" t="s">
        <v>78</v>
      </c>
      <c r="E1203" s="26">
        <v>200</v>
      </c>
      <c r="F1203" s="62">
        <f t="shared" si="256"/>
        <v>16</v>
      </c>
      <c r="G1203" s="62">
        <f t="shared" si="256"/>
        <v>0</v>
      </c>
      <c r="H1203" s="49">
        <f t="shared" si="252"/>
        <v>16</v>
      </c>
      <c r="I1203" s="62">
        <f t="shared" si="256"/>
        <v>0</v>
      </c>
      <c r="J1203" s="49">
        <f t="shared" si="243"/>
        <v>16</v>
      </c>
      <c r="K1203" s="62">
        <f t="shared" si="256"/>
        <v>15</v>
      </c>
      <c r="L1203" s="49">
        <f t="shared" si="254"/>
        <v>31</v>
      </c>
      <c r="M1203" s="62">
        <f t="shared" si="256"/>
        <v>0</v>
      </c>
      <c r="N1203" s="49">
        <f t="shared" si="249"/>
        <v>31</v>
      </c>
    </row>
    <row r="1204" spans="1:14" ht="33" x14ac:dyDescent="0.2">
      <c r="A1204" s="50" t="str">
        <f ca="1">IF(ISERROR(MATCH(E1204,Код_КВР,0)),"",INDIRECT(ADDRESS(MATCH(E1204,Код_КВР,0)+1,2,,,"КВР")))</f>
        <v>Иные закупки товаров, работ и услуг для обеспечения государственных (муниципальных) нужд</v>
      </c>
      <c r="B1204" s="79" t="s">
        <v>384</v>
      </c>
      <c r="C1204" s="65" t="s">
        <v>60</v>
      </c>
      <c r="D1204" s="46" t="s">
        <v>78</v>
      </c>
      <c r="E1204" s="26">
        <v>240</v>
      </c>
      <c r="F1204" s="62">
        <f>'прил. 8'!G315</f>
        <v>16</v>
      </c>
      <c r="G1204" s="62">
        <f>'прил. 8'!H315</f>
        <v>0</v>
      </c>
      <c r="H1204" s="49">
        <f t="shared" si="252"/>
        <v>16</v>
      </c>
      <c r="I1204" s="62">
        <f>'прил. 8'!J315</f>
        <v>0</v>
      </c>
      <c r="J1204" s="49">
        <f t="shared" si="243"/>
        <v>16</v>
      </c>
      <c r="K1204" s="62">
        <f>'прил. 8'!L315</f>
        <v>15</v>
      </c>
      <c r="L1204" s="49">
        <f t="shared" si="254"/>
        <v>31</v>
      </c>
      <c r="M1204" s="62">
        <f>'прил. 8'!N315</f>
        <v>0</v>
      </c>
      <c r="N1204" s="49">
        <f t="shared" si="249"/>
        <v>31</v>
      </c>
    </row>
    <row r="1205" spans="1:14" x14ac:dyDescent="0.2">
      <c r="A1205" s="50" t="str">
        <f ca="1">IF(ISERROR(MATCH(B1205,Код_КЦСР,0)),"",INDIRECT(ADDRESS(MATCH(B1205,Код_КЦСР,0)+1,2,,,"КЦСР")))</f>
        <v>Развитие муниципальной службы в мэрии города Череповца</v>
      </c>
      <c r="B1205" s="79" t="s">
        <v>385</v>
      </c>
      <c r="C1205" s="65"/>
      <c r="D1205" s="46"/>
      <c r="E1205" s="26"/>
      <c r="F1205" s="62">
        <f>F1206+F1215</f>
        <v>15689.099999999999</v>
      </c>
      <c r="G1205" s="62">
        <f>G1206+G1215</f>
        <v>0</v>
      </c>
      <c r="H1205" s="49">
        <f t="shared" si="252"/>
        <v>15689.099999999999</v>
      </c>
      <c r="I1205" s="62">
        <f>I1206+I1215</f>
        <v>0</v>
      </c>
      <c r="J1205" s="49">
        <f t="shared" si="243"/>
        <v>15689.099999999999</v>
      </c>
      <c r="K1205" s="62">
        <f>K1206+K1215</f>
        <v>5000</v>
      </c>
      <c r="L1205" s="49">
        <f t="shared" si="254"/>
        <v>20689.099999999999</v>
      </c>
      <c r="M1205" s="62">
        <f>M1206+M1215</f>
        <v>-9.4</v>
      </c>
      <c r="N1205" s="49">
        <f t="shared" si="249"/>
        <v>20679.699999999997</v>
      </c>
    </row>
    <row r="1206" spans="1:14" ht="52.5" customHeight="1" x14ac:dyDescent="0.2">
      <c r="A1206" s="50" t="str">
        <f ca="1">IF(ISERROR(MATCH(B1206,Код_КЦСР,0)),"",INDIRECT(ADDRESS(MATCH(B1206,Код_КЦСР,0)+1,2,,,"КЦСР")))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 мэрии города</v>
      </c>
      <c r="B1206" s="79" t="s">
        <v>589</v>
      </c>
      <c r="C1206" s="65"/>
      <c r="D1206" s="46"/>
      <c r="E1206" s="26"/>
      <c r="F1206" s="62">
        <f>F1207+F1211</f>
        <v>178.3</v>
      </c>
      <c r="G1206" s="62">
        <f>G1207+G1211</f>
        <v>0</v>
      </c>
      <c r="H1206" s="49">
        <f t="shared" si="252"/>
        <v>178.3</v>
      </c>
      <c r="I1206" s="62">
        <f>I1207+I1211</f>
        <v>0</v>
      </c>
      <c r="J1206" s="49">
        <f t="shared" si="243"/>
        <v>178.3</v>
      </c>
      <c r="K1206" s="62">
        <f>K1207+K1211</f>
        <v>0</v>
      </c>
      <c r="L1206" s="49">
        <f t="shared" si="254"/>
        <v>178.3</v>
      </c>
      <c r="M1206" s="62">
        <f>M1207+M1211</f>
        <v>0</v>
      </c>
      <c r="N1206" s="49">
        <f t="shared" si="249"/>
        <v>178.3</v>
      </c>
    </row>
    <row r="1207" spans="1:14" ht="22.5" customHeight="1" x14ac:dyDescent="0.2">
      <c r="A1207" s="50" t="str">
        <f ca="1">IF(ISERROR(MATCH(C1207,Код_Раздел,0)),"",INDIRECT(ADDRESS(MATCH(C1207,Код_Раздел,0)+1,2,,,"Раздел")))</f>
        <v>Общегосударственные вопросы</v>
      </c>
      <c r="B1207" s="79" t="s">
        <v>589</v>
      </c>
      <c r="C1207" s="65" t="s">
        <v>70</v>
      </c>
      <c r="D1207" s="46"/>
      <c r="E1207" s="26"/>
      <c r="F1207" s="62">
        <f t="shared" ref="F1207:M1209" si="257">F1208</f>
        <v>63.3</v>
      </c>
      <c r="G1207" s="62">
        <f t="shared" si="257"/>
        <v>0</v>
      </c>
      <c r="H1207" s="49">
        <f t="shared" si="252"/>
        <v>63.3</v>
      </c>
      <c r="I1207" s="62">
        <f t="shared" si="257"/>
        <v>0</v>
      </c>
      <c r="J1207" s="49">
        <f t="shared" si="243"/>
        <v>63.3</v>
      </c>
      <c r="K1207" s="62">
        <f t="shared" si="257"/>
        <v>0</v>
      </c>
      <c r="L1207" s="49">
        <f t="shared" si="254"/>
        <v>63.3</v>
      </c>
      <c r="M1207" s="62">
        <f t="shared" si="257"/>
        <v>0</v>
      </c>
      <c r="N1207" s="49">
        <f t="shared" si="249"/>
        <v>63.3</v>
      </c>
    </row>
    <row r="1208" spans="1:14" ht="30" customHeight="1" x14ac:dyDescent="0.2">
      <c r="A1208" s="45" t="s">
        <v>91</v>
      </c>
      <c r="B1208" s="79" t="s">
        <v>589</v>
      </c>
      <c r="C1208" s="65" t="s">
        <v>70</v>
      </c>
      <c r="D1208" s="46" t="s">
        <v>55</v>
      </c>
      <c r="E1208" s="26"/>
      <c r="F1208" s="62">
        <f t="shared" si="257"/>
        <v>63.3</v>
      </c>
      <c r="G1208" s="62">
        <f t="shared" si="257"/>
        <v>0</v>
      </c>
      <c r="H1208" s="49">
        <f t="shared" si="252"/>
        <v>63.3</v>
      </c>
      <c r="I1208" s="62">
        <f t="shared" si="257"/>
        <v>0</v>
      </c>
      <c r="J1208" s="49">
        <f t="shared" si="243"/>
        <v>63.3</v>
      </c>
      <c r="K1208" s="62">
        <f t="shared" si="257"/>
        <v>0</v>
      </c>
      <c r="L1208" s="49">
        <f t="shared" si="254"/>
        <v>63.3</v>
      </c>
      <c r="M1208" s="62">
        <f t="shared" si="257"/>
        <v>0</v>
      </c>
      <c r="N1208" s="49">
        <f t="shared" si="249"/>
        <v>63.3</v>
      </c>
    </row>
    <row r="1209" spans="1:14" ht="38.25" customHeight="1" x14ac:dyDescent="0.2">
      <c r="A1209" s="50" t="str">
        <f ca="1">IF(ISERROR(MATCH(E1209,Код_КВР,0)),"",INDIRECT(ADDRESS(MATCH(E1209,Код_КВР,0)+1,2,,,"КВР")))</f>
        <v>Закупка товаров, работ и услуг для обеспечения государственных (муниципальных) нужд</v>
      </c>
      <c r="B1209" s="79" t="s">
        <v>589</v>
      </c>
      <c r="C1209" s="65" t="s">
        <v>70</v>
      </c>
      <c r="D1209" s="46" t="s">
        <v>55</v>
      </c>
      <c r="E1209" s="26">
        <v>200</v>
      </c>
      <c r="F1209" s="62">
        <f t="shared" si="257"/>
        <v>63.3</v>
      </c>
      <c r="G1209" s="62">
        <f t="shared" si="257"/>
        <v>0</v>
      </c>
      <c r="H1209" s="49">
        <f t="shared" si="252"/>
        <v>63.3</v>
      </c>
      <c r="I1209" s="62">
        <f t="shared" si="257"/>
        <v>0</v>
      </c>
      <c r="J1209" s="49">
        <f t="shared" si="243"/>
        <v>63.3</v>
      </c>
      <c r="K1209" s="62">
        <f t="shared" si="257"/>
        <v>0</v>
      </c>
      <c r="L1209" s="49">
        <f t="shared" si="254"/>
        <v>63.3</v>
      </c>
      <c r="M1209" s="62">
        <f t="shared" si="257"/>
        <v>0</v>
      </c>
      <c r="N1209" s="49">
        <f t="shared" si="249"/>
        <v>63.3</v>
      </c>
    </row>
    <row r="1210" spans="1:14" ht="37.5" customHeight="1" x14ac:dyDescent="0.2">
      <c r="A1210" s="50" t="str">
        <f ca="1">IF(ISERROR(MATCH(E1210,Код_КВР,0)),"",INDIRECT(ADDRESS(MATCH(E1210,Код_КВР,0)+1,2,,,"КВР")))</f>
        <v>Иные закупки товаров, работ и услуг для обеспечения государственных (муниципальных) нужд</v>
      </c>
      <c r="B1210" s="79" t="s">
        <v>589</v>
      </c>
      <c r="C1210" s="65" t="s">
        <v>70</v>
      </c>
      <c r="D1210" s="46" t="s">
        <v>55</v>
      </c>
      <c r="E1210" s="26">
        <v>240</v>
      </c>
      <c r="F1210" s="62">
        <f>'прил. 8'!G87</f>
        <v>63.3</v>
      </c>
      <c r="G1210" s="62">
        <f>'прил. 8'!H87</f>
        <v>0</v>
      </c>
      <c r="H1210" s="49">
        <f t="shared" si="252"/>
        <v>63.3</v>
      </c>
      <c r="I1210" s="62">
        <f>'прил. 8'!J87</f>
        <v>0</v>
      </c>
      <c r="J1210" s="49">
        <f t="shared" si="243"/>
        <v>63.3</v>
      </c>
      <c r="K1210" s="62">
        <f>'прил. 8'!L87</f>
        <v>0</v>
      </c>
      <c r="L1210" s="49">
        <f t="shared" si="254"/>
        <v>63.3</v>
      </c>
      <c r="M1210" s="62">
        <f>'прил. 8'!N87</f>
        <v>0</v>
      </c>
      <c r="N1210" s="49">
        <f t="shared" si="249"/>
        <v>63.3</v>
      </c>
    </row>
    <row r="1211" spans="1:14" x14ac:dyDescent="0.2">
      <c r="A1211" s="50" t="str">
        <f ca="1">IF(ISERROR(MATCH(C1211,Код_Раздел,0)),"",INDIRECT(ADDRESS(MATCH(C1211,Код_Раздел,0)+1,2,,,"Раздел")))</f>
        <v>Образование</v>
      </c>
      <c r="B1211" s="79" t="s">
        <v>589</v>
      </c>
      <c r="C1211" s="65" t="s">
        <v>60</v>
      </c>
      <c r="D1211" s="46"/>
      <c r="E1211" s="26"/>
      <c r="F1211" s="62">
        <f t="shared" ref="F1211:M1213" si="258">F1212</f>
        <v>115</v>
      </c>
      <c r="G1211" s="62">
        <f t="shared" si="258"/>
        <v>0</v>
      </c>
      <c r="H1211" s="49">
        <f t="shared" si="252"/>
        <v>115</v>
      </c>
      <c r="I1211" s="62">
        <f t="shared" si="258"/>
        <v>0</v>
      </c>
      <c r="J1211" s="49">
        <f t="shared" si="243"/>
        <v>115</v>
      </c>
      <c r="K1211" s="62">
        <f t="shared" si="258"/>
        <v>0</v>
      </c>
      <c r="L1211" s="49">
        <f t="shared" si="254"/>
        <v>115</v>
      </c>
      <c r="M1211" s="62">
        <f t="shared" si="258"/>
        <v>0</v>
      </c>
      <c r="N1211" s="49">
        <f t="shared" si="249"/>
        <v>115</v>
      </c>
    </row>
    <row r="1212" spans="1:14" x14ac:dyDescent="0.2">
      <c r="A1212" s="45" t="s">
        <v>532</v>
      </c>
      <c r="B1212" s="79" t="s">
        <v>589</v>
      </c>
      <c r="C1212" s="65" t="s">
        <v>60</v>
      </c>
      <c r="D1212" s="46" t="s">
        <v>78</v>
      </c>
      <c r="E1212" s="26"/>
      <c r="F1212" s="62">
        <f t="shared" si="258"/>
        <v>115</v>
      </c>
      <c r="G1212" s="62">
        <f t="shared" si="258"/>
        <v>0</v>
      </c>
      <c r="H1212" s="49">
        <f t="shared" si="252"/>
        <v>115</v>
      </c>
      <c r="I1212" s="62">
        <f t="shared" si="258"/>
        <v>0</v>
      </c>
      <c r="J1212" s="49">
        <f t="shared" si="243"/>
        <v>115</v>
      </c>
      <c r="K1212" s="62">
        <f t="shared" si="258"/>
        <v>0</v>
      </c>
      <c r="L1212" s="49">
        <f t="shared" si="254"/>
        <v>115</v>
      </c>
      <c r="M1212" s="62">
        <f t="shared" si="258"/>
        <v>0</v>
      </c>
      <c r="N1212" s="49">
        <f t="shared" si="249"/>
        <v>115</v>
      </c>
    </row>
    <row r="1213" spans="1:14" ht="33" x14ac:dyDescent="0.2">
      <c r="A1213" s="50" t="str">
        <f ca="1">IF(ISERROR(MATCH(E1213,Код_КВР,0)),"",INDIRECT(ADDRESS(MATCH(E1213,Код_КВР,0)+1,2,,,"КВР")))</f>
        <v>Закупка товаров, работ и услуг для обеспечения государственных (муниципальных) нужд</v>
      </c>
      <c r="B1213" s="79" t="s">
        <v>589</v>
      </c>
      <c r="C1213" s="65" t="s">
        <v>60</v>
      </c>
      <c r="D1213" s="46" t="s">
        <v>78</v>
      </c>
      <c r="E1213" s="26">
        <v>200</v>
      </c>
      <c r="F1213" s="62">
        <f t="shared" si="258"/>
        <v>115</v>
      </c>
      <c r="G1213" s="62">
        <f t="shared" si="258"/>
        <v>0</v>
      </c>
      <c r="H1213" s="49">
        <f t="shared" si="252"/>
        <v>115</v>
      </c>
      <c r="I1213" s="62">
        <f t="shared" si="258"/>
        <v>0</v>
      </c>
      <c r="J1213" s="49">
        <f t="shared" ref="J1213:J1278" si="259">H1213+I1213</f>
        <v>115</v>
      </c>
      <c r="K1213" s="62">
        <f t="shared" si="258"/>
        <v>0</v>
      </c>
      <c r="L1213" s="49">
        <f t="shared" si="254"/>
        <v>115</v>
      </c>
      <c r="M1213" s="62">
        <f t="shared" si="258"/>
        <v>0</v>
      </c>
      <c r="N1213" s="49">
        <f t="shared" si="249"/>
        <v>115</v>
      </c>
    </row>
    <row r="1214" spans="1:14" ht="33" x14ac:dyDescent="0.2">
      <c r="A1214" s="50" t="str">
        <f ca="1">IF(ISERROR(MATCH(E1214,Код_КВР,0)),"",INDIRECT(ADDRESS(MATCH(E1214,Код_КВР,0)+1,2,,,"КВР")))</f>
        <v>Иные закупки товаров, работ и услуг для обеспечения государственных (муниципальных) нужд</v>
      </c>
      <c r="B1214" s="79" t="s">
        <v>589</v>
      </c>
      <c r="C1214" s="65" t="s">
        <v>60</v>
      </c>
      <c r="D1214" s="46" t="s">
        <v>78</v>
      </c>
      <c r="E1214" s="26">
        <v>240</v>
      </c>
      <c r="F1214" s="62">
        <f>'прил. 8'!G319</f>
        <v>115</v>
      </c>
      <c r="G1214" s="62">
        <f>'прил. 8'!H319</f>
        <v>0</v>
      </c>
      <c r="H1214" s="49">
        <f t="shared" si="252"/>
        <v>115</v>
      </c>
      <c r="I1214" s="62">
        <f>'прил. 8'!J319</f>
        <v>0</v>
      </c>
      <c r="J1214" s="49">
        <f t="shared" si="259"/>
        <v>115</v>
      </c>
      <c r="K1214" s="62">
        <f>'прил. 8'!L319</f>
        <v>0</v>
      </c>
      <c r="L1214" s="49">
        <f t="shared" si="254"/>
        <v>115</v>
      </c>
      <c r="M1214" s="62">
        <f>'прил. 8'!N319</f>
        <v>0</v>
      </c>
      <c r="N1214" s="49">
        <f t="shared" si="249"/>
        <v>115</v>
      </c>
    </row>
    <row r="1215" spans="1:14" x14ac:dyDescent="0.2">
      <c r="A1215" s="50" t="str">
        <f ca="1">IF(ISERROR(MATCH(B1215,Код_КЦСР,0)),"",INDIRECT(ADDRESS(MATCH(B1215,Код_КЦСР,0)+1,2,,,"КЦСР")))</f>
        <v>Повышение престижа муниципальной службы в городе</v>
      </c>
      <c r="B1215" s="79" t="s">
        <v>386</v>
      </c>
      <c r="C1215" s="65"/>
      <c r="D1215" s="46"/>
      <c r="E1215" s="26"/>
      <c r="F1215" s="62">
        <f>F1216+F1220</f>
        <v>15510.8</v>
      </c>
      <c r="G1215" s="62">
        <f>G1216+G1220</f>
        <v>0</v>
      </c>
      <c r="H1215" s="49">
        <f t="shared" si="252"/>
        <v>15510.8</v>
      </c>
      <c r="I1215" s="62">
        <f>I1216+I1220</f>
        <v>0</v>
      </c>
      <c r="J1215" s="49">
        <f t="shared" si="259"/>
        <v>15510.8</v>
      </c>
      <c r="K1215" s="62">
        <f>K1216+K1220</f>
        <v>5000</v>
      </c>
      <c r="L1215" s="49">
        <f t="shared" si="254"/>
        <v>20510.8</v>
      </c>
      <c r="M1215" s="62">
        <f>M1216+M1220</f>
        <v>-9.4</v>
      </c>
      <c r="N1215" s="49">
        <f t="shared" si="249"/>
        <v>20501.399999999998</v>
      </c>
    </row>
    <row r="1216" spans="1:14" x14ac:dyDescent="0.2">
      <c r="A1216" s="50" t="str">
        <f ca="1">IF(ISERROR(MATCH(C1216,Код_Раздел,0)),"",INDIRECT(ADDRESS(MATCH(C1216,Код_Раздел,0)+1,2,,,"Раздел")))</f>
        <v>Общегосударственные вопросы</v>
      </c>
      <c r="B1216" s="79" t="s">
        <v>386</v>
      </c>
      <c r="C1216" s="65" t="s">
        <v>70</v>
      </c>
      <c r="D1216" s="46"/>
      <c r="E1216" s="26"/>
      <c r="F1216" s="62">
        <f t="shared" ref="F1216:M1218" si="260">F1217</f>
        <v>72.400000000000006</v>
      </c>
      <c r="G1216" s="62">
        <f t="shared" si="260"/>
        <v>0</v>
      </c>
      <c r="H1216" s="49">
        <f t="shared" si="252"/>
        <v>72.400000000000006</v>
      </c>
      <c r="I1216" s="62">
        <f t="shared" si="260"/>
        <v>0</v>
      </c>
      <c r="J1216" s="49">
        <f t="shared" si="259"/>
        <v>72.400000000000006</v>
      </c>
      <c r="K1216" s="62">
        <f t="shared" si="260"/>
        <v>0</v>
      </c>
      <c r="L1216" s="49">
        <f t="shared" si="254"/>
        <v>72.400000000000006</v>
      </c>
      <c r="M1216" s="62">
        <f t="shared" si="260"/>
        <v>-9.4</v>
      </c>
      <c r="N1216" s="49">
        <f t="shared" si="249"/>
        <v>63.000000000000007</v>
      </c>
    </row>
    <row r="1217" spans="1:14" x14ac:dyDescent="0.2">
      <c r="A1217" s="45" t="s">
        <v>91</v>
      </c>
      <c r="B1217" s="79" t="s">
        <v>386</v>
      </c>
      <c r="C1217" s="65" t="s">
        <v>70</v>
      </c>
      <c r="D1217" s="46" t="s">
        <v>55</v>
      </c>
      <c r="E1217" s="26"/>
      <c r="F1217" s="62">
        <f t="shared" si="260"/>
        <v>72.400000000000006</v>
      </c>
      <c r="G1217" s="62">
        <f t="shared" si="260"/>
        <v>0</v>
      </c>
      <c r="H1217" s="49">
        <f t="shared" si="252"/>
        <v>72.400000000000006</v>
      </c>
      <c r="I1217" s="62">
        <f t="shared" si="260"/>
        <v>0</v>
      </c>
      <c r="J1217" s="49">
        <f t="shared" si="259"/>
        <v>72.400000000000006</v>
      </c>
      <c r="K1217" s="62">
        <f t="shared" si="260"/>
        <v>0</v>
      </c>
      <c r="L1217" s="49">
        <f t="shared" si="254"/>
        <v>72.400000000000006</v>
      </c>
      <c r="M1217" s="62">
        <f t="shared" si="260"/>
        <v>-9.4</v>
      </c>
      <c r="N1217" s="49">
        <f t="shared" si="249"/>
        <v>63.000000000000007</v>
      </c>
    </row>
    <row r="1218" spans="1:14" ht="36.75" customHeight="1" x14ac:dyDescent="0.2">
      <c r="A1218" s="50" t="str">
        <f t="shared" ref="A1218:A1219" ca="1" si="261">IF(ISERROR(MATCH(E1218,Код_КВР,0)),"",INDIRECT(ADDRESS(MATCH(E1218,Код_КВР,0)+1,2,,,"КВР")))</f>
        <v>Закупка товаров, работ и услуг для обеспечения государственных (муниципальных) нужд</v>
      </c>
      <c r="B1218" s="79" t="s">
        <v>386</v>
      </c>
      <c r="C1218" s="65" t="s">
        <v>70</v>
      </c>
      <c r="D1218" s="46" t="s">
        <v>55</v>
      </c>
      <c r="E1218" s="26">
        <v>200</v>
      </c>
      <c r="F1218" s="62">
        <f t="shared" si="260"/>
        <v>72.400000000000006</v>
      </c>
      <c r="G1218" s="62">
        <f t="shared" si="260"/>
        <v>0</v>
      </c>
      <c r="H1218" s="49">
        <f t="shared" si="252"/>
        <v>72.400000000000006</v>
      </c>
      <c r="I1218" s="62">
        <f t="shared" si="260"/>
        <v>0</v>
      </c>
      <c r="J1218" s="49">
        <f t="shared" si="259"/>
        <v>72.400000000000006</v>
      </c>
      <c r="K1218" s="62">
        <f t="shared" si="260"/>
        <v>0</v>
      </c>
      <c r="L1218" s="49">
        <f t="shared" si="254"/>
        <v>72.400000000000006</v>
      </c>
      <c r="M1218" s="62">
        <f t="shared" si="260"/>
        <v>-9.4</v>
      </c>
      <c r="N1218" s="49">
        <f t="shared" si="249"/>
        <v>63.000000000000007</v>
      </c>
    </row>
    <row r="1219" spans="1:14" ht="33" x14ac:dyDescent="0.2">
      <c r="A1219" s="50" t="str">
        <f t="shared" ca="1" si="261"/>
        <v>Иные закупки товаров, работ и услуг для обеспечения государственных (муниципальных) нужд</v>
      </c>
      <c r="B1219" s="79" t="s">
        <v>386</v>
      </c>
      <c r="C1219" s="65" t="s">
        <v>70</v>
      </c>
      <c r="D1219" s="46" t="s">
        <v>55</v>
      </c>
      <c r="E1219" s="26">
        <v>240</v>
      </c>
      <c r="F1219" s="62">
        <f>'прил. 8'!G90</f>
        <v>72.400000000000006</v>
      </c>
      <c r="G1219" s="62">
        <f>'прил. 8'!H90</f>
        <v>0</v>
      </c>
      <c r="H1219" s="49">
        <f t="shared" si="252"/>
        <v>72.400000000000006</v>
      </c>
      <c r="I1219" s="62">
        <f>'прил. 8'!J90</f>
        <v>0</v>
      </c>
      <c r="J1219" s="49">
        <f t="shared" si="259"/>
        <v>72.400000000000006</v>
      </c>
      <c r="K1219" s="62">
        <f>'прил. 8'!L90</f>
        <v>0</v>
      </c>
      <c r="L1219" s="49">
        <f t="shared" si="254"/>
        <v>72.400000000000006</v>
      </c>
      <c r="M1219" s="62">
        <f>'прил. 8'!N90</f>
        <v>-9.4</v>
      </c>
      <c r="N1219" s="49">
        <f t="shared" si="249"/>
        <v>63.000000000000007</v>
      </c>
    </row>
    <row r="1220" spans="1:14" x14ac:dyDescent="0.2">
      <c r="A1220" s="50" t="str">
        <f ca="1">IF(ISERROR(MATCH(C1220,Код_Раздел,0)),"",INDIRECT(ADDRESS(MATCH(C1220,Код_Раздел,0)+1,2,,,"Раздел")))</f>
        <v>Социальная политика</v>
      </c>
      <c r="B1220" s="79" t="s">
        <v>386</v>
      </c>
      <c r="C1220" s="65" t="s">
        <v>53</v>
      </c>
      <c r="D1220" s="46"/>
      <c r="E1220" s="26"/>
      <c r="F1220" s="62">
        <f t="shared" ref="F1220:M1221" si="262">F1221</f>
        <v>15438.4</v>
      </c>
      <c r="G1220" s="62">
        <f t="shared" si="262"/>
        <v>0</v>
      </c>
      <c r="H1220" s="49">
        <f t="shared" si="252"/>
        <v>15438.4</v>
      </c>
      <c r="I1220" s="62">
        <f t="shared" si="262"/>
        <v>0</v>
      </c>
      <c r="J1220" s="49">
        <f t="shared" si="259"/>
        <v>15438.4</v>
      </c>
      <c r="K1220" s="62">
        <f t="shared" si="262"/>
        <v>5000</v>
      </c>
      <c r="L1220" s="49">
        <f t="shared" si="254"/>
        <v>20438.400000000001</v>
      </c>
      <c r="M1220" s="62">
        <f t="shared" si="262"/>
        <v>0</v>
      </c>
      <c r="N1220" s="49">
        <f t="shared" si="249"/>
        <v>20438.400000000001</v>
      </c>
    </row>
    <row r="1221" spans="1:14" x14ac:dyDescent="0.2">
      <c r="A1221" s="45" t="s">
        <v>50</v>
      </c>
      <c r="B1221" s="79" t="s">
        <v>386</v>
      </c>
      <c r="C1221" s="65" t="s">
        <v>53</v>
      </c>
      <c r="D1221" s="46" t="s">
        <v>70</v>
      </c>
      <c r="E1221" s="26"/>
      <c r="F1221" s="62">
        <f t="shared" si="262"/>
        <v>15438.4</v>
      </c>
      <c r="G1221" s="62">
        <f t="shared" si="262"/>
        <v>0</v>
      </c>
      <c r="H1221" s="49">
        <f t="shared" si="252"/>
        <v>15438.4</v>
      </c>
      <c r="I1221" s="62">
        <f t="shared" si="262"/>
        <v>0</v>
      </c>
      <c r="J1221" s="49">
        <f t="shared" si="259"/>
        <v>15438.4</v>
      </c>
      <c r="K1221" s="62">
        <f>K1222+K1224</f>
        <v>5000</v>
      </c>
      <c r="L1221" s="49">
        <f t="shared" si="254"/>
        <v>20438.400000000001</v>
      </c>
      <c r="M1221" s="62">
        <f>M1222+M1224</f>
        <v>0</v>
      </c>
      <c r="N1221" s="49">
        <f t="shared" si="249"/>
        <v>20438.400000000001</v>
      </c>
    </row>
    <row r="1222" spans="1:14" x14ac:dyDescent="0.2">
      <c r="A1222" s="50" t="str">
        <f ca="1">IF(ISERROR(MATCH(E1222,Код_КВР,0)),"",INDIRECT(ADDRESS(MATCH(E1222,Код_КВР,0)+1,2,,,"КВР")))</f>
        <v>Социальное обеспечение и иные выплаты населению</v>
      </c>
      <c r="B1222" s="79" t="s">
        <v>386</v>
      </c>
      <c r="C1222" s="65" t="s">
        <v>53</v>
      </c>
      <c r="D1222" s="46" t="s">
        <v>70</v>
      </c>
      <c r="E1222" s="26">
        <v>300</v>
      </c>
      <c r="F1222" s="62">
        <f>F1223</f>
        <v>15438.4</v>
      </c>
      <c r="G1222" s="62">
        <f>G1223</f>
        <v>0</v>
      </c>
      <c r="H1222" s="49">
        <f t="shared" si="252"/>
        <v>15438.4</v>
      </c>
      <c r="I1222" s="62">
        <f>I1223</f>
        <v>0</v>
      </c>
      <c r="J1222" s="49">
        <f t="shared" si="259"/>
        <v>15438.4</v>
      </c>
      <c r="K1222" s="62">
        <f>K1223</f>
        <v>4583.8999999999996</v>
      </c>
      <c r="L1222" s="49">
        <f t="shared" si="254"/>
        <v>20022.3</v>
      </c>
      <c r="M1222" s="62">
        <f>M1223</f>
        <v>0</v>
      </c>
      <c r="N1222" s="49">
        <f t="shared" si="249"/>
        <v>20022.3</v>
      </c>
    </row>
    <row r="1223" spans="1:14" ht="33" x14ac:dyDescent="0.2">
      <c r="A1223" s="50" t="str">
        <f ca="1">IF(ISERROR(MATCH(E1223,Код_КВР,0)),"",INDIRECT(ADDRESS(MATCH(E1223,Код_КВР,0)+1,2,,,"КВР")))</f>
        <v>Социальные выплаты гражданам, кроме публичных нормативных социальных выплат</v>
      </c>
      <c r="B1223" s="79" t="s">
        <v>386</v>
      </c>
      <c r="C1223" s="65" t="s">
        <v>53</v>
      </c>
      <c r="D1223" s="46" t="s">
        <v>70</v>
      </c>
      <c r="E1223" s="26">
        <v>320</v>
      </c>
      <c r="F1223" s="62">
        <f>'прил. 8'!G363</f>
        <v>15438.4</v>
      </c>
      <c r="G1223" s="62">
        <f>'прил. 8'!H363</f>
        <v>0</v>
      </c>
      <c r="H1223" s="49">
        <f t="shared" si="252"/>
        <v>15438.4</v>
      </c>
      <c r="I1223" s="62">
        <f>'прил. 8'!J363</f>
        <v>0</v>
      </c>
      <c r="J1223" s="49">
        <f t="shared" si="259"/>
        <v>15438.4</v>
      </c>
      <c r="K1223" s="62">
        <f>'прил. 8'!L363</f>
        <v>4583.8999999999996</v>
      </c>
      <c r="L1223" s="49">
        <f t="shared" si="254"/>
        <v>20022.3</v>
      </c>
      <c r="M1223" s="62">
        <f>'прил. 8'!N363</f>
        <v>0</v>
      </c>
      <c r="N1223" s="49">
        <f t="shared" si="249"/>
        <v>20022.3</v>
      </c>
    </row>
    <row r="1224" spans="1:14" x14ac:dyDescent="0.2">
      <c r="A1224" s="50" t="str">
        <f ca="1">IF(ISERROR(MATCH(E1224,Код_КВР,0)),"",INDIRECT(ADDRESS(MATCH(E1224,Код_КВР,0)+1,2,,,"КВР")))</f>
        <v>Иные бюджетные ассигнования</v>
      </c>
      <c r="B1224" s="79" t="s">
        <v>386</v>
      </c>
      <c r="C1224" s="65" t="s">
        <v>53</v>
      </c>
      <c r="D1224" s="46" t="s">
        <v>70</v>
      </c>
      <c r="E1224" s="26">
        <v>800</v>
      </c>
      <c r="F1224" s="62"/>
      <c r="G1224" s="62"/>
      <c r="H1224" s="49"/>
      <c r="I1224" s="62"/>
      <c r="J1224" s="49"/>
      <c r="K1224" s="62">
        <f>K1225</f>
        <v>416.1</v>
      </c>
      <c r="L1224" s="49">
        <f t="shared" si="254"/>
        <v>416.1</v>
      </c>
      <c r="M1224" s="62">
        <f>M1225</f>
        <v>0</v>
      </c>
      <c r="N1224" s="49">
        <f t="shared" si="249"/>
        <v>416.1</v>
      </c>
    </row>
    <row r="1225" spans="1:14" x14ac:dyDescent="0.2">
      <c r="A1225" s="50" t="str">
        <f ca="1">IF(ISERROR(MATCH(E1225,Код_КВР,0)),"",INDIRECT(ADDRESS(MATCH(E1225,Код_КВР,0)+1,2,,,"КВР")))</f>
        <v>Исполнение судебных актов</v>
      </c>
      <c r="B1225" s="79" t="s">
        <v>386</v>
      </c>
      <c r="C1225" s="65" t="s">
        <v>53</v>
      </c>
      <c r="D1225" s="46" t="s">
        <v>70</v>
      </c>
      <c r="E1225" s="26">
        <v>830</v>
      </c>
      <c r="F1225" s="62"/>
      <c r="G1225" s="62"/>
      <c r="H1225" s="49"/>
      <c r="I1225" s="62"/>
      <c r="J1225" s="49"/>
      <c r="K1225" s="62">
        <f>'прил. 8'!L365</f>
        <v>416.1</v>
      </c>
      <c r="L1225" s="49">
        <f t="shared" si="254"/>
        <v>416.1</v>
      </c>
      <c r="M1225" s="62">
        <f>'прил. 8'!N365</f>
        <v>0</v>
      </c>
      <c r="N1225" s="49">
        <f t="shared" si="249"/>
        <v>416.1</v>
      </c>
    </row>
    <row r="1226" spans="1:14" ht="42.75" customHeight="1" x14ac:dyDescent="0.2">
      <c r="A1226" s="50" t="str">
        <f ca="1">IF(ISERROR(MATCH(B1226,Код_КЦСР,0)),"",INDIRECT(ADDRESS(MATCH(B1226,Код_КЦСР,0)+1,2,,,"КЦСР")))</f>
        <v>Обеспечение защиты прав и законных интересов граждан, общества, государства от угроз, связанных с коррупцией</v>
      </c>
      <c r="B1226" s="79" t="s">
        <v>590</v>
      </c>
      <c r="C1226" s="65"/>
      <c r="D1226" s="46"/>
      <c r="E1226" s="26"/>
      <c r="F1226" s="62">
        <f t="shared" ref="F1226:M1230" si="263">F1227</f>
        <v>40.799999999999997</v>
      </c>
      <c r="G1226" s="62">
        <f t="shared" si="263"/>
        <v>0</v>
      </c>
      <c r="H1226" s="49">
        <f t="shared" si="252"/>
        <v>40.799999999999997</v>
      </c>
      <c r="I1226" s="62">
        <f t="shared" si="263"/>
        <v>0</v>
      </c>
      <c r="J1226" s="49">
        <f t="shared" si="259"/>
        <v>40.799999999999997</v>
      </c>
      <c r="K1226" s="62">
        <f t="shared" si="263"/>
        <v>0</v>
      </c>
      <c r="L1226" s="49">
        <f t="shared" si="254"/>
        <v>40.799999999999997</v>
      </c>
      <c r="M1226" s="62">
        <f t="shared" si="263"/>
        <v>0</v>
      </c>
      <c r="N1226" s="49">
        <f t="shared" si="249"/>
        <v>40.799999999999997</v>
      </c>
    </row>
    <row r="1227" spans="1:14" ht="38.25" customHeight="1" x14ac:dyDescent="0.2">
      <c r="A1227" s="50" t="str">
        <f ca="1">IF(ISERROR(MATCH(B1227,Код_КЦСР,0)),"",INDIRECT(ADDRESS(MATCH(B1227,Код_КЦСР,0)+1,2,,,"КЦСР")))</f>
        <v>Правовое просвещение и информирование граждан по вопросам противодействия коррупции</v>
      </c>
      <c r="B1227" s="79" t="s">
        <v>592</v>
      </c>
      <c r="C1227" s="65"/>
      <c r="D1227" s="46"/>
      <c r="E1227" s="26"/>
      <c r="F1227" s="62">
        <f t="shared" si="263"/>
        <v>40.799999999999997</v>
      </c>
      <c r="G1227" s="62">
        <f t="shared" si="263"/>
        <v>0</v>
      </c>
      <c r="H1227" s="49">
        <f t="shared" si="252"/>
        <v>40.799999999999997</v>
      </c>
      <c r="I1227" s="62">
        <f t="shared" si="263"/>
        <v>0</v>
      </c>
      <c r="J1227" s="49">
        <f t="shared" si="259"/>
        <v>40.799999999999997</v>
      </c>
      <c r="K1227" s="62">
        <f t="shared" si="263"/>
        <v>0</v>
      </c>
      <c r="L1227" s="49">
        <f t="shared" si="254"/>
        <v>40.799999999999997</v>
      </c>
      <c r="M1227" s="62">
        <f t="shared" si="263"/>
        <v>0</v>
      </c>
      <c r="N1227" s="49">
        <f t="shared" si="249"/>
        <v>40.799999999999997</v>
      </c>
    </row>
    <row r="1228" spans="1:14" x14ac:dyDescent="0.2">
      <c r="A1228" s="50" t="str">
        <f ca="1">IF(ISERROR(MATCH(C1228,Код_Раздел,0)),"",INDIRECT(ADDRESS(MATCH(C1228,Код_Раздел,0)+1,2,,,"Раздел")))</f>
        <v>Общегосударственные вопросы</v>
      </c>
      <c r="B1228" s="79" t="s">
        <v>592</v>
      </c>
      <c r="C1228" s="65" t="s">
        <v>70</v>
      </c>
      <c r="D1228" s="46"/>
      <c r="E1228" s="26"/>
      <c r="F1228" s="62">
        <f t="shared" si="263"/>
        <v>40.799999999999997</v>
      </c>
      <c r="G1228" s="62">
        <f t="shared" si="263"/>
        <v>0</v>
      </c>
      <c r="H1228" s="49">
        <f t="shared" si="252"/>
        <v>40.799999999999997</v>
      </c>
      <c r="I1228" s="62">
        <f t="shared" si="263"/>
        <v>0</v>
      </c>
      <c r="J1228" s="49">
        <f t="shared" si="259"/>
        <v>40.799999999999997</v>
      </c>
      <c r="K1228" s="62">
        <f t="shared" si="263"/>
        <v>0</v>
      </c>
      <c r="L1228" s="49">
        <f t="shared" si="254"/>
        <v>40.799999999999997</v>
      </c>
      <c r="M1228" s="62">
        <f t="shared" si="263"/>
        <v>0</v>
      </c>
      <c r="N1228" s="49">
        <f t="shared" si="249"/>
        <v>40.799999999999997</v>
      </c>
    </row>
    <row r="1229" spans="1:14" x14ac:dyDescent="0.2">
      <c r="A1229" s="45" t="s">
        <v>91</v>
      </c>
      <c r="B1229" s="79" t="s">
        <v>592</v>
      </c>
      <c r="C1229" s="65" t="s">
        <v>70</v>
      </c>
      <c r="D1229" s="46" t="s">
        <v>55</v>
      </c>
      <c r="E1229" s="26"/>
      <c r="F1229" s="62">
        <f t="shared" si="263"/>
        <v>40.799999999999997</v>
      </c>
      <c r="G1229" s="62">
        <f t="shared" si="263"/>
        <v>0</v>
      </c>
      <c r="H1229" s="49">
        <f t="shared" si="252"/>
        <v>40.799999999999997</v>
      </c>
      <c r="I1229" s="62">
        <f t="shared" si="263"/>
        <v>0</v>
      </c>
      <c r="J1229" s="49">
        <f t="shared" si="259"/>
        <v>40.799999999999997</v>
      </c>
      <c r="K1229" s="62">
        <f t="shared" si="263"/>
        <v>0</v>
      </c>
      <c r="L1229" s="49">
        <f t="shared" si="254"/>
        <v>40.799999999999997</v>
      </c>
      <c r="M1229" s="62">
        <f t="shared" si="263"/>
        <v>0</v>
      </c>
      <c r="N1229" s="49">
        <f t="shared" si="249"/>
        <v>40.799999999999997</v>
      </c>
    </row>
    <row r="1230" spans="1:14" ht="33" x14ac:dyDescent="0.2">
      <c r="A1230" s="50" t="str">
        <f ca="1">IF(ISERROR(MATCH(E1230,Код_КВР,0)),"",INDIRECT(ADDRESS(MATCH(E1230,Код_КВР,0)+1,2,,,"КВР")))</f>
        <v>Закупка товаров, работ и услуг для обеспечения государственных (муниципальных) нужд</v>
      </c>
      <c r="B1230" s="79" t="s">
        <v>592</v>
      </c>
      <c r="C1230" s="65" t="s">
        <v>70</v>
      </c>
      <c r="D1230" s="46" t="s">
        <v>55</v>
      </c>
      <c r="E1230" s="26">
        <v>200</v>
      </c>
      <c r="F1230" s="62">
        <f t="shared" si="263"/>
        <v>40.799999999999997</v>
      </c>
      <c r="G1230" s="62">
        <f t="shared" si="263"/>
        <v>0</v>
      </c>
      <c r="H1230" s="49">
        <f t="shared" si="252"/>
        <v>40.799999999999997</v>
      </c>
      <c r="I1230" s="62">
        <f t="shared" si="263"/>
        <v>0</v>
      </c>
      <c r="J1230" s="49">
        <f t="shared" si="259"/>
        <v>40.799999999999997</v>
      </c>
      <c r="K1230" s="62">
        <f t="shared" si="263"/>
        <v>0</v>
      </c>
      <c r="L1230" s="49">
        <f t="shared" si="254"/>
        <v>40.799999999999997</v>
      </c>
      <c r="M1230" s="62">
        <f t="shared" si="263"/>
        <v>0</v>
      </c>
      <c r="N1230" s="49">
        <f t="shared" si="249"/>
        <v>40.799999999999997</v>
      </c>
    </row>
    <row r="1231" spans="1:14" ht="36.75" customHeight="1" x14ac:dyDescent="0.2">
      <c r="A1231" s="50" t="str">
        <f ca="1">IF(ISERROR(MATCH(E1231,Код_КВР,0)),"",INDIRECT(ADDRESS(MATCH(E1231,Код_КВР,0)+1,2,,,"КВР")))</f>
        <v>Иные закупки товаров, работ и услуг для обеспечения государственных (муниципальных) нужд</v>
      </c>
      <c r="B1231" s="79" t="s">
        <v>592</v>
      </c>
      <c r="C1231" s="65" t="s">
        <v>70</v>
      </c>
      <c r="D1231" s="46" t="s">
        <v>55</v>
      </c>
      <c r="E1231" s="26">
        <v>240</v>
      </c>
      <c r="F1231" s="62">
        <f>'прил. 8'!G94</f>
        <v>40.799999999999997</v>
      </c>
      <c r="G1231" s="62">
        <f>'прил. 8'!H94</f>
        <v>0</v>
      </c>
      <c r="H1231" s="49">
        <f t="shared" si="252"/>
        <v>40.799999999999997</v>
      </c>
      <c r="I1231" s="62">
        <f>'прил. 8'!J94</f>
        <v>0</v>
      </c>
      <c r="J1231" s="49">
        <f t="shared" si="259"/>
        <v>40.799999999999997</v>
      </c>
      <c r="K1231" s="62">
        <f>'прил. 8'!L94</f>
        <v>0</v>
      </c>
      <c r="L1231" s="49">
        <f t="shared" si="254"/>
        <v>40.799999999999997</v>
      </c>
      <c r="M1231" s="62">
        <f>'прил. 8'!N94</f>
        <v>0</v>
      </c>
      <c r="N1231" s="49">
        <f t="shared" si="249"/>
        <v>40.799999999999997</v>
      </c>
    </row>
    <row r="1232" spans="1:14" ht="57.75" customHeight="1" x14ac:dyDescent="0.2">
      <c r="A1232" s="50" t="str">
        <f ca="1">IF(ISERROR(MATCH(B1232,Код_КЦСР,0)),"",INDIRECT(ADDRESS(MATCH(B1232,Код_КЦСР,0)+1,2,,,"КЦСР")))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1232" s="79" t="s">
        <v>387</v>
      </c>
      <c r="C1232" s="65"/>
      <c r="D1232" s="46"/>
      <c r="E1232" s="26"/>
      <c r="F1232" s="62">
        <f>F1233+F1238</f>
        <v>70620.800000000003</v>
      </c>
      <c r="G1232" s="62">
        <f>G1233+G1238</f>
        <v>0</v>
      </c>
      <c r="H1232" s="49">
        <f t="shared" si="252"/>
        <v>70620.800000000003</v>
      </c>
      <c r="I1232" s="62">
        <f>I1233+I1238</f>
        <v>0</v>
      </c>
      <c r="J1232" s="49">
        <f t="shared" si="259"/>
        <v>70620.800000000003</v>
      </c>
      <c r="K1232" s="62">
        <f>K1233+K1238</f>
        <v>0</v>
      </c>
      <c r="L1232" s="49">
        <f t="shared" si="254"/>
        <v>70620.800000000003</v>
      </c>
      <c r="M1232" s="62">
        <f>M1233+M1238</f>
        <v>0</v>
      </c>
      <c r="N1232" s="49">
        <f t="shared" si="249"/>
        <v>70620.800000000003</v>
      </c>
    </row>
    <row r="1233" spans="1:14" x14ac:dyDescent="0.2">
      <c r="A1233" s="50" t="str">
        <f ca="1">IF(ISERROR(MATCH(B1233,Код_КЦСР,0)),"",INDIRECT(ADDRESS(MATCH(B1233,Код_КЦСР,0)+1,2,,,"КЦСР")))</f>
        <v>Совершенствование предоставления муниципальных услуг</v>
      </c>
      <c r="B1233" s="79" t="s">
        <v>388</v>
      </c>
      <c r="C1233" s="65"/>
      <c r="D1233" s="46"/>
      <c r="E1233" s="26"/>
      <c r="F1233" s="62">
        <f t="shared" ref="F1233:M1236" si="264">F1234</f>
        <v>658.2</v>
      </c>
      <c r="G1233" s="62">
        <f t="shared" si="264"/>
        <v>0</v>
      </c>
      <c r="H1233" s="49">
        <f t="shared" si="252"/>
        <v>658.2</v>
      </c>
      <c r="I1233" s="62">
        <f t="shared" si="264"/>
        <v>0</v>
      </c>
      <c r="J1233" s="49">
        <f t="shared" si="259"/>
        <v>658.2</v>
      </c>
      <c r="K1233" s="62">
        <f t="shared" si="264"/>
        <v>0</v>
      </c>
      <c r="L1233" s="49">
        <f t="shared" si="254"/>
        <v>658.2</v>
      </c>
      <c r="M1233" s="62">
        <f t="shared" si="264"/>
        <v>0</v>
      </c>
      <c r="N1233" s="49">
        <f t="shared" si="249"/>
        <v>658.2</v>
      </c>
    </row>
    <row r="1234" spans="1:14" x14ac:dyDescent="0.2">
      <c r="A1234" s="50" t="str">
        <f ca="1">IF(ISERROR(MATCH(C1234,Код_Раздел,0)),"",INDIRECT(ADDRESS(MATCH(C1234,Код_Раздел,0)+1,2,,,"Раздел")))</f>
        <v>Национальная экономика</v>
      </c>
      <c r="B1234" s="79" t="s">
        <v>388</v>
      </c>
      <c r="C1234" s="65" t="s">
        <v>73</v>
      </c>
      <c r="D1234" s="46"/>
      <c r="E1234" s="26"/>
      <c r="F1234" s="62">
        <f t="shared" si="264"/>
        <v>658.2</v>
      </c>
      <c r="G1234" s="62">
        <f t="shared" si="264"/>
        <v>0</v>
      </c>
      <c r="H1234" s="49">
        <f t="shared" si="252"/>
        <v>658.2</v>
      </c>
      <c r="I1234" s="62">
        <f t="shared" si="264"/>
        <v>0</v>
      </c>
      <c r="J1234" s="49">
        <f t="shared" si="259"/>
        <v>658.2</v>
      </c>
      <c r="K1234" s="62">
        <f t="shared" si="264"/>
        <v>0</v>
      </c>
      <c r="L1234" s="49">
        <f t="shared" si="254"/>
        <v>658.2</v>
      </c>
      <c r="M1234" s="62">
        <f t="shared" si="264"/>
        <v>0</v>
      </c>
      <c r="N1234" s="49">
        <f t="shared" ref="N1234:N1297" si="265">L1234+M1234</f>
        <v>658.2</v>
      </c>
    </row>
    <row r="1235" spans="1:14" x14ac:dyDescent="0.2">
      <c r="A1235" s="45" t="s">
        <v>87</v>
      </c>
      <c r="B1235" s="79" t="s">
        <v>388</v>
      </c>
      <c r="C1235" s="65" t="s">
        <v>73</v>
      </c>
      <c r="D1235" s="65" t="s">
        <v>53</v>
      </c>
      <c r="E1235" s="26"/>
      <c r="F1235" s="62">
        <f t="shared" si="264"/>
        <v>658.2</v>
      </c>
      <c r="G1235" s="62">
        <f t="shared" si="264"/>
        <v>0</v>
      </c>
      <c r="H1235" s="49">
        <f t="shared" si="252"/>
        <v>658.2</v>
      </c>
      <c r="I1235" s="62">
        <f t="shared" si="264"/>
        <v>0</v>
      </c>
      <c r="J1235" s="49">
        <f t="shared" si="259"/>
        <v>658.2</v>
      </c>
      <c r="K1235" s="62">
        <f t="shared" si="264"/>
        <v>0</v>
      </c>
      <c r="L1235" s="49">
        <f t="shared" si="254"/>
        <v>658.2</v>
      </c>
      <c r="M1235" s="62">
        <f t="shared" si="264"/>
        <v>0</v>
      </c>
      <c r="N1235" s="49">
        <f t="shared" si="265"/>
        <v>658.2</v>
      </c>
    </row>
    <row r="1236" spans="1:14" ht="33" x14ac:dyDescent="0.2">
      <c r="A1236" s="50" t="str">
        <f ca="1">IF(ISERROR(MATCH(E1236,Код_КВР,0)),"",INDIRECT(ADDRESS(MATCH(E1236,Код_КВР,0)+1,2,,,"КВР")))</f>
        <v>Предоставление субсидий бюджетным, автономным учреждениям и иным некоммерческим организациям</v>
      </c>
      <c r="B1236" s="79" t="s">
        <v>388</v>
      </c>
      <c r="C1236" s="65" t="s">
        <v>73</v>
      </c>
      <c r="D1236" s="65" t="s">
        <v>53</v>
      </c>
      <c r="E1236" s="26">
        <v>600</v>
      </c>
      <c r="F1236" s="62">
        <f t="shared" si="264"/>
        <v>658.2</v>
      </c>
      <c r="G1236" s="62">
        <f t="shared" si="264"/>
        <v>0</v>
      </c>
      <c r="H1236" s="49">
        <f t="shared" si="252"/>
        <v>658.2</v>
      </c>
      <c r="I1236" s="62">
        <f t="shared" si="264"/>
        <v>0</v>
      </c>
      <c r="J1236" s="49">
        <f t="shared" si="259"/>
        <v>658.2</v>
      </c>
      <c r="K1236" s="62">
        <f t="shared" si="264"/>
        <v>0</v>
      </c>
      <c r="L1236" s="49">
        <f t="shared" si="254"/>
        <v>658.2</v>
      </c>
      <c r="M1236" s="62">
        <f t="shared" si="264"/>
        <v>0</v>
      </c>
      <c r="N1236" s="49">
        <f t="shared" si="265"/>
        <v>658.2</v>
      </c>
    </row>
    <row r="1237" spans="1:14" x14ac:dyDescent="0.2">
      <c r="A1237" s="50" t="str">
        <f ca="1">IF(ISERROR(MATCH(E1237,Код_КВР,0)),"",INDIRECT(ADDRESS(MATCH(E1237,Код_КВР,0)+1,2,,,"КВР")))</f>
        <v>Субсидии бюджетным учреждениям</v>
      </c>
      <c r="B1237" s="79" t="s">
        <v>388</v>
      </c>
      <c r="C1237" s="65" t="s">
        <v>73</v>
      </c>
      <c r="D1237" s="65" t="s">
        <v>53</v>
      </c>
      <c r="E1237" s="26">
        <v>610</v>
      </c>
      <c r="F1237" s="62">
        <f>'прил. 8'!G227</f>
        <v>658.2</v>
      </c>
      <c r="G1237" s="62">
        <f>'прил. 8'!H227</f>
        <v>0</v>
      </c>
      <c r="H1237" s="49">
        <f t="shared" si="252"/>
        <v>658.2</v>
      </c>
      <c r="I1237" s="62">
        <f>'прил. 8'!J227</f>
        <v>0</v>
      </c>
      <c r="J1237" s="49">
        <f t="shared" si="259"/>
        <v>658.2</v>
      </c>
      <c r="K1237" s="62">
        <f>'прил. 8'!L227</f>
        <v>0</v>
      </c>
      <c r="L1237" s="49">
        <f t="shared" si="254"/>
        <v>658.2</v>
      </c>
      <c r="M1237" s="62">
        <f>'прил. 8'!N227</f>
        <v>0</v>
      </c>
      <c r="N1237" s="49">
        <f t="shared" si="265"/>
        <v>658.2</v>
      </c>
    </row>
    <row r="1238" spans="1:14" ht="50.25" customHeight="1" x14ac:dyDescent="0.2">
      <c r="A1238" s="50" t="str">
        <f ca="1">IF(ISERROR(MATCH(B1238,Код_КЦСР,0)),"",INDIRECT(ADDRESS(MATCH(B1238,Код_КЦСР,0)+1,2,,,"КЦСР")))</f>
        <v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</v>
      </c>
      <c r="B1238" s="79" t="s">
        <v>594</v>
      </c>
      <c r="C1238" s="65"/>
      <c r="D1238" s="46"/>
      <c r="E1238" s="26"/>
      <c r="F1238" s="62">
        <f>F1239+F1248</f>
        <v>69962.600000000006</v>
      </c>
      <c r="G1238" s="62">
        <f>G1239+G1248</f>
        <v>0</v>
      </c>
      <c r="H1238" s="49">
        <f t="shared" si="252"/>
        <v>69962.600000000006</v>
      </c>
      <c r="I1238" s="62">
        <f>I1239+I1248</f>
        <v>0</v>
      </c>
      <c r="J1238" s="49">
        <f t="shared" si="259"/>
        <v>69962.600000000006</v>
      </c>
      <c r="K1238" s="62">
        <f>K1239+K1248</f>
        <v>0</v>
      </c>
      <c r="L1238" s="49">
        <f t="shared" si="254"/>
        <v>69962.600000000006</v>
      </c>
      <c r="M1238" s="62">
        <f>M1239+M1248</f>
        <v>0</v>
      </c>
      <c r="N1238" s="49">
        <f t="shared" si="265"/>
        <v>69962.600000000006</v>
      </c>
    </row>
    <row r="1239" spans="1:14" ht="63.75" customHeight="1" x14ac:dyDescent="0.2">
      <c r="A1239" s="50" t="str">
        <f ca="1">IF(ISERROR(MATCH(B1239,Код_КЦСР,0)),"",INDIRECT(ADDRESS(MATCH(B1239,Код_КЦСР,0)+1,2,,,"КЦСР")))</f>
        <v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качества, за счет средств городского бюджета</v>
      </c>
      <c r="B1239" s="79" t="s">
        <v>627</v>
      </c>
      <c r="C1239" s="65"/>
      <c r="D1239" s="46"/>
      <c r="E1239" s="26"/>
      <c r="F1239" s="62">
        <f>F1240+F1244</f>
        <v>11158.8</v>
      </c>
      <c r="G1239" s="62">
        <f>G1240+G1244</f>
        <v>0</v>
      </c>
      <c r="H1239" s="49">
        <f t="shared" si="252"/>
        <v>11158.8</v>
      </c>
      <c r="I1239" s="62">
        <f>I1240+I1244</f>
        <v>0</v>
      </c>
      <c r="J1239" s="49">
        <f t="shared" si="259"/>
        <v>11158.8</v>
      </c>
      <c r="K1239" s="62">
        <f>K1240+K1244</f>
        <v>0</v>
      </c>
      <c r="L1239" s="49">
        <f t="shared" si="254"/>
        <v>11158.8</v>
      </c>
      <c r="M1239" s="62">
        <f>M1240+M1244</f>
        <v>0</v>
      </c>
      <c r="N1239" s="49">
        <f t="shared" si="265"/>
        <v>11158.8</v>
      </c>
    </row>
    <row r="1240" spans="1:14" x14ac:dyDescent="0.2">
      <c r="A1240" s="50" t="str">
        <f ca="1">IF(ISERROR(MATCH(C1240,Код_Раздел,0)),"",INDIRECT(ADDRESS(MATCH(C1240,Код_Раздел,0)+1,2,,,"Раздел")))</f>
        <v>Общегосударственные вопросы</v>
      </c>
      <c r="B1240" s="79" t="s">
        <v>627</v>
      </c>
      <c r="C1240" s="65" t="s">
        <v>70</v>
      </c>
      <c r="D1240" s="46"/>
      <c r="E1240" s="26"/>
      <c r="F1240" s="62">
        <f t="shared" ref="F1240:M1242" si="266">F1241</f>
        <v>11143.8</v>
      </c>
      <c r="G1240" s="62">
        <f t="shared" si="266"/>
        <v>0</v>
      </c>
      <c r="H1240" s="49">
        <f t="shared" si="252"/>
        <v>11143.8</v>
      </c>
      <c r="I1240" s="62">
        <f t="shared" si="266"/>
        <v>0</v>
      </c>
      <c r="J1240" s="49">
        <f t="shared" si="259"/>
        <v>11143.8</v>
      </c>
      <c r="K1240" s="62">
        <f t="shared" si="266"/>
        <v>0</v>
      </c>
      <c r="L1240" s="49">
        <f t="shared" si="254"/>
        <v>11143.8</v>
      </c>
      <c r="M1240" s="62">
        <f t="shared" si="266"/>
        <v>0</v>
      </c>
      <c r="N1240" s="49">
        <f t="shared" si="265"/>
        <v>11143.8</v>
      </c>
    </row>
    <row r="1241" spans="1:14" x14ac:dyDescent="0.2">
      <c r="A1241" s="45" t="s">
        <v>91</v>
      </c>
      <c r="B1241" s="79" t="s">
        <v>627</v>
      </c>
      <c r="C1241" s="65" t="s">
        <v>70</v>
      </c>
      <c r="D1241" s="46" t="s">
        <v>55</v>
      </c>
      <c r="E1241" s="26"/>
      <c r="F1241" s="62">
        <f t="shared" si="266"/>
        <v>11143.8</v>
      </c>
      <c r="G1241" s="62">
        <f t="shared" si="266"/>
        <v>0</v>
      </c>
      <c r="H1241" s="49">
        <f t="shared" si="252"/>
        <v>11143.8</v>
      </c>
      <c r="I1241" s="62">
        <f t="shared" si="266"/>
        <v>0</v>
      </c>
      <c r="J1241" s="49">
        <f t="shared" si="259"/>
        <v>11143.8</v>
      </c>
      <c r="K1241" s="62">
        <f t="shared" si="266"/>
        <v>0</v>
      </c>
      <c r="L1241" s="49">
        <f t="shared" si="254"/>
        <v>11143.8</v>
      </c>
      <c r="M1241" s="62">
        <f t="shared" si="266"/>
        <v>0</v>
      </c>
      <c r="N1241" s="49">
        <f t="shared" si="265"/>
        <v>11143.8</v>
      </c>
    </row>
    <row r="1242" spans="1:14" ht="33" x14ac:dyDescent="0.2">
      <c r="A1242" s="50" t="str">
        <f ca="1">IF(ISERROR(MATCH(E1242,Код_КВР,0)),"",INDIRECT(ADDRESS(MATCH(E1242,Код_КВР,0)+1,2,,,"КВР")))</f>
        <v>Предоставление субсидий бюджетным, автономным учреждениям и иным некоммерческим организациям</v>
      </c>
      <c r="B1242" s="79" t="s">
        <v>627</v>
      </c>
      <c r="C1242" s="65" t="s">
        <v>70</v>
      </c>
      <c r="D1242" s="46" t="s">
        <v>55</v>
      </c>
      <c r="E1242" s="26">
        <v>600</v>
      </c>
      <c r="F1242" s="62">
        <f t="shared" si="266"/>
        <v>11143.8</v>
      </c>
      <c r="G1242" s="62">
        <f t="shared" si="266"/>
        <v>0</v>
      </c>
      <c r="H1242" s="49">
        <f t="shared" si="252"/>
        <v>11143.8</v>
      </c>
      <c r="I1242" s="62">
        <f t="shared" si="266"/>
        <v>0</v>
      </c>
      <c r="J1242" s="49">
        <f t="shared" si="259"/>
        <v>11143.8</v>
      </c>
      <c r="K1242" s="62">
        <f t="shared" si="266"/>
        <v>0</v>
      </c>
      <c r="L1242" s="49">
        <f t="shared" si="254"/>
        <v>11143.8</v>
      </c>
      <c r="M1242" s="62">
        <f t="shared" si="266"/>
        <v>0</v>
      </c>
      <c r="N1242" s="49">
        <f t="shared" si="265"/>
        <v>11143.8</v>
      </c>
    </row>
    <row r="1243" spans="1:14" x14ac:dyDescent="0.2">
      <c r="A1243" s="50" t="str">
        <f ca="1">IF(ISERROR(MATCH(E1243,Код_КВР,0)),"",INDIRECT(ADDRESS(MATCH(E1243,Код_КВР,0)+1,2,,,"КВР")))</f>
        <v>Субсидии бюджетным учреждениям</v>
      </c>
      <c r="B1243" s="79" t="s">
        <v>627</v>
      </c>
      <c r="C1243" s="65" t="s">
        <v>70</v>
      </c>
      <c r="D1243" s="46" t="s">
        <v>55</v>
      </c>
      <c r="E1243" s="26">
        <v>610</v>
      </c>
      <c r="F1243" s="62">
        <f>'прил. 8'!G99</f>
        <v>11143.8</v>
      </c>
      <c r="G1243" s="62">
        <f>'прил. 8'!H99</f>
        <v>0</v>
      </c>
      <c r="H1243" s="49">
        <f t="shared" si="252"/>
        <v>11143.8</v>
      </c>
      <c r="I1243" s="62">
        <f>'прил. 8'!J99</f>
        <v>0</v>
      </c>
      <c r="J1243" s="49">
        <f t="shared" si="259"/>
        <v>11143.8</v>
      </c>
      <c r="K1243" s="62">
        <f>'прил. 8'!L99</f>
        <v>0</v>
      </c>
      <c r="L1243" s="49">
        <f t="shared" si="254"/>
        <v>11143.8</v>
      </c>
      <c r="M1243" s="62">
        <f>'прил. 8'!N99</f>
        <v>0</v>
      </c>
      <c r="N1243" s="49">
        <f t="shared" si="265"/>
        <v>11143.8</v>
      </c>
    </row>
    <row r="1244" spans="1:14" x14ac:dyDescent="0.2">
      <c r="A1244" s="50" t="str">
        <f ca="1">IF(ISERROR(MATCH(C1244,Код_Раздел,0)),"",INDIRECT(ADDRESS(MATCH(C1244,Код_Раздел,0)+1,2,,,"Раздел")))</f>
        <v>Образование</v>
      </c>
      <c r="B1244" s="79" t="s">
        <v>627</v>
      </c>
      <c r="C1244" s="65" t="s">
        <v>60</v>
      </c>
      <c r="D1244" s="46"/>
      <c r="E1244" s="26"/>
      <c r="F1244" s="62">
        <f t="shared" ref="F1244:M1246" si="267">F1245</f>
        <v>15</v>
      </c>
      <c r="G1244" s="62">
        <f t="shared" si="267"/>
        <v>0</v>
      </c>
      <c r="H1244" s="49">
        <f t="shared" si="252"/>
        <v>15</v>
      </c>
      <c r="I1244" s="62">
        <f t="shared" si="267"/>
        <v>0</v>
      </c>
      <c r="J1244" s="49">
        <f t="shared" si="259"/>
        <v>15</v>
      </c>
      <c r="K1244" s="62">
        <f t="shared" si="267"/>
        <v>0</v>
      </c>
      <c r="L1244" s="49">
        <f t="shared" si="254"/>
        <v>15</v>
      </c>
      <c r="M1244" s="62">
        <f t="shared" si="267"/>
        <v>0</v>
      </c>
      <c r="N1244" s="49">
        <f t="shared" si="265"/>
        <v>15</v>
      </c>
    </row>
    <row r="1245" spans="1:14" ht="24.75" customHeight="1" x14ac:dyDescent="0.2">
      <c r="A1245" s="45" t="s">
        <v>532</v>
      </c>
      <c r="B1245" s="79" t="s">
        <v>627</v>
      </c>
      <c r="C1245" s="65" t="s">
        <v>60</v>
      </c>
      <c r="D1245" s="46" t="s">
        <v>78</v>
      </c>
      <c r="E1245" s="26"/>
      <c r="F1245" s="62">
        <f t="shared" si="267"/>
        <v>15</v>
      </c>
      <c r="G1245" s="62">
        <f t="shared" si="267"/>
        <v>0</v>
      </c>
      <c r="H1245" s="49">
        <f t="shared" si="252"/>
        <v>15</v>
      </c>
      <c r="I1245" s="62">
        <f t="shared" si="267"/>
        <v>0</v>
      </c>
      <c r="J1245" s="49">
        <f t="shared" si="259"/>
        <v>15</v>
      </c>
      <c r="K1245" s="62">
        <f t="shared" si="267"/>
        <v>0</v>
      </c>
      <c r="L1245" s="49">
        <f t="shared" si="254"/>
        <v>15</v>
      </c>
      <c r="M1245" s="62">
        <f t="shared" si="267"/>
        <v>0</v>
      </c>
      <c r="N1245" s="49">
        <f t="shared" si="265"/>
        <v>15</v>
      </c>
    </row>
    <row r="1246" spans="1:14" ht="36.75" customHeight="1" x14ac:dyDescent="0.2">
      <c r="A1246" s="50" t="str">
        <f ca="1">IF(ISERROR(MATCH(E1246,Код_КВР,0)),"",INDIRECT(ADDRESS(MATCH(E1246,Код_КВР,0)+1,2,,,"КВР")))</f>
        <v>Предоставление субсидий бюджетным, автономным учреждениям и иным некоммерческим организациям</v>
      </c>
      <c r="B1246" s="79" t="s">
        <v>627</v>
      </c>
      <c r="C1246" s="65" t="s">
        <v>60</v>
      </c>
      <c r="D1246" s="46" t="s">
        <v>78</v>
      </c>
      <c r="E1246" s="26">
        <v>600</v>
      </c>
      <c r="F1246" s="62">
        <f t="shared" si="267"/>
        <v>15</v>
      </c>
      <c r="G1246" s="62">
        <f t="shared" si="267"/>
        <v>0</v>
      </c>
      <c r="H1246" s="49">
        <f t="shared" si="252"/>
        <v>15</v>
      </c>
      <c r="I1246" s="62">
        <f t="shared" si="267"/>
        <v>0</v>
      </c>
      <c r="J1246" s="49">
        <f t="shared" si="259"/>
        <v>15</v>
      </c>
      <c r="K1246" s="62">
        <f t="shared" si="267"/>
        <v>0</v>
      </c>
      <c r="L1246" s="49">
        <f t="shared" si="254"/>
        <v>15</v>
      </c>
      <c r="M1246" s="62">
        <f t="shared" si="267"/>
        <v>0</v>
      </c>
      <c r="N1246" s="49">
        <f t="shared" si="265"/>
        <v>15</v>
      </c>
    </row>
    <row r="1247" spans="1:14" ht="21" customHeight="1" x14ac:dyDescent="0.2">
      <c r="A1247" s="50" t="str">
        <f ca="1">IF(ISERROR(MATCH(E1247,Код_КВР,0)),"",INDIRECT(ADDRESS(MATCH(E1247,Код_КВР,0)+1,2,,,"КВР")))</f>
        <v>Субсидии бюджетным учреждениям</v>
      </c>
      <c r="B1247" s="79" t="s">
        <v>627</v>
      </c>
      <c r="C1247" s="65" t="s">
        <v>60</v>
      </c>
      <c r="D1247" s="46" t="s">
        <v>78</v>
      </c>
      <c r="E1247" s="26">
        <v>610</v>
      </c>
      <c r="F1247" s="62">
        <f>'прил. 8'!G324</f>
        <v>15</v>
      </c>
      <c r="G1247" s="62">
        <f>'прил. 8'!H324</f>
        <v>0</v>
      </c>
      <c r="H1247" s="49">
        <f t="shared" ref="H1247:H1315" si="268">F1247+G1247</f>
        <v>15</v>
      </c>
      <c r="I1247" s="62">
        <f>'прил. 8'!J324</f>
        <v>0</v>
      </c>
      <c r="J1247" s="49">
        <f t="shared" si="259"/>
        <v>15</v>
      </c>
      <c r="K1247" s="62">
        <f>'прил. 8'!L324</f>
        <v>0</v>
      </c>
      <c r="L1247" s="49">
        <f t="shared" si="254"/>
        <v>15</v>
      </c>
      <c r="M1247" s="62">
        <f>'прил. 8'!N324</f>
        <v>0</v>
      </c>
      <c r="N1247" s="49">
        <f t="shared" si="265"/>
        <v>15</v>
      </c>
    </row>
    <row r="1248" spans="1:14" ht="108.75" customHeight="1" x14ac:dyDescent="0.2">
      <c r="A1248" s="50" t="str">
        <f ca="1">IF(ISERROR(MATCH(B1248,Код_КЦСР,0)),"",INDIRECT(ADDRESS(MATCH(B1248,Код_КЦСР,0)+1,2,,,"КЦСР")))</f>
        <v>Осуществление отдельных государственных полномочий в соответствии с законом области от 10 декабря 2014 года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услуг», за счет средств областного бюджета</v>
      </c>
      <c r="B1248" s="79" t="s">
        <v>596</v>
      </c>
      <c r="C1248" s="65"/>
      <c r="D1248" s="46"/>
      <c r="E1248" s="26"/>
      <c r="F1248" s="62">
        <f t="shared" ref="F1248:M1251" si="269">F1249</f>
        <v>58803.8</v>
      </c>
      <c r="G1248" s="62">
        <f t="shared" si="269"/>
        <v>0</v>
      </c>
      <c r="H1248" s="49">
        <f t="shared" si="268"/>
        <v>58803.8</v>
      </c>
      <c r="I1248" s="62">
        <f t="shared" si="269"/>
        <v>0</v>
      </c>
      <c r="J1248" s="49">
        <f t="shared" si="259"/>
        <v>58803.8</v>
      </c>
      <c r="K1248" s="62">
        <f t="shared" si="269"/>
        <v>0</v>
      </c>
      <c r="L1248" s="49">
        <f t="shared" si="254"/>
        <v>58803.8</v>
      </c>
      <c r="M1248" s="62">
        <f t="shared" si="269"/>
        <v>0</v>
      </c>
      <c r="N1248" s="49">
        <f t="shared" si="265"/>
        <v>58803.8</v>
      </c>
    </row>
    <row r="1249" spans="1:14" x14ac:dyDescent="0.2">
      <c r="A1249" s="50" t="str">
        <f ca="1">IF(ISERROR(MATCH(C1249,Код_Раздел,0)),"",INDIRECT(ADDRESS(MATCH(C1249,Код_Раздел,0)+1,2,,,"Раздел")))</f>
        <v>Общегосударственные вопросы</v>
      </c>
      <c r="B1249" s="79" t="s">
        <v>596</v>
      </c>
      <c r="C1249" s="65" t="s">
        <v>70</v>
      </c>
      <c r="D1249" s="46"/>
      <c r="E1249" s="26"/>
      <c r="F1249" s="62">
        <f t="shared" si="269"/>
        <v>58803.8</v>
      </c>
      <c r="G1249" s="62">
        <f t="shared" si="269"/>
        <v>0</v>
      </c>
      <c r="H1249" s="49">
        <f t="shared" si="268"/>
        <v>58803.8</v>
      </c>
      <c r="I1249" s="62">
        <f t="shared" si="269"/>
        <v>0</v>
      </c>
      <c r="J1249" s="49">
        <f t="shared" si="259"/>
        <v>58803.8</v>
      </c>
      <c r="K1249" s="62">
        <f t="shared" si="269"/>
        <v>0</v>
      </c>
      <c r="L1249" s="49">
        <f t="shared" si="254"/>
        <v>58803.8</v>
      </c>
      <c r="M1249" s="62">
        <f t="shared" si="269"/>
        <v>0</v>
      </c>
      <c r="N1249" s="49">
        <f t="shared" si="265"/>
        <v>58803.8</v>
      </c>
    </row>
    <row r="1250" spans="1:14" x14ac:dyDescent="0.2">
      <c r="A1250" s="45" t="s">
        <v>91</v>
      </c>
      <c r="B1250" s="79" t="s">
        <v>596</v>
      </c>
      <c r="C1250" s="65" t="s">
        <v>70</v>
      </c>
      <c r="D1250" s="46" t="s">
        <v>55</v>
      </c>
      <c r="E1250" s="26"/>
      <c r="F1250" s="62">
        <f t="shared" si="269"/>
        <v>58803.8</v>
      </c>
      <c r="G1250" s="62">
        <f t="shared" si="269"/>
        <v>0</v>
      </c>
      <c r="H1250" s="49">
        <f t="shared" si="268"/>
        <v>58803.8</v>
      </c>
      <c r="I1250" s="62">
        <f t="shared" si="269"/>
        <v>0</v>
      </c>
      <c r="J1250" s="49">
        <f t="shared" si="259"/>
        <v>58803.8</v>
      </c>
      <c r="K1250" s="62">
        <f t="shared" si="269"/>
        <v>0</v>
      </c>
      <c r="L1250" s="49">
        <f t="shared" si="254"/>
        <v>58803.8</v>
      </c>
      <c r="M1250" s="62">
        <f t="shared" si="269"/>
        <v>0</v>
      </c>
      <c r="N1250" s="49">
        <f t="shared" si="265"/>
        <v>58803.8</v>
      </c>
    </row>
    <row r="1251" spans="1:14" ht="33" x14ac:dyDescent="0.2">
      <c r="A1251" s="50" t="str">
        <f ca="1">IF(ISERROR(MATCH(E1251,Код_КВР,0)),"",INDIRECT(ADDRESS(MATCH(E1251,Код_КВР,0)+1,2,,,"КВР")))</f>
        <v>Предоставление субсидий бюджетным, автономным учреждениям и иным некоммерческим организациям</v>
      </c>
      <c r="B1251" s="79" t="s">
        <v>596</v>
      </c>
      <c r="C1251" s="65" t="s">
        <v>70</v>
      </c>
      <c r="D1251" s="46" t="s">
        <v>55</v>
      </c>
      <c r="E1251" s="26">
        <v>600</v>
      </c>
      <c r="F1251" s="62">
        <f t="shared" si="269"/>
        <v>58803.8</v>
      </c>
      <c r="G1251" s="62">
        <f t="shared" si="269"/>
        <v>0</v>
      </c>
      <c r="H1251" s="49">
        <f t="shared" si="268"/>
        <v>58803.8</v>
      </c>
      <c r="I1251" s="62">
        <f t="shared" si="269"/>
        <v>0</v>
      </c>
      <c r="J1251" s="49">
        <f t="shared" si="259"/>
        <v>58803.8</v>
      </c>
      <c r="K1251" s="62">
        <f t="shared" si="269"/>
        <v>0</v>
      </c>
      <c r="L1251" s="49">
        <f t="shared" si="254"/>
        <v>58803.8</v>
      </c>
      <c r="M1251" s="62">
        <f t="shared" si="269"/>
        <v>0</v>
      </c>
      <c r="N1251" s="49">
        <f t="shared" si="265"/>
        <v>58803.8</v>
      </c>
    </row>
    <row r="1252" spans="1:14" x14ac:dyDescent="0.2">
      <c r="A1252" s="50" t="str">
        <f ca="1">IF(ISERROR(MATCH(E1252,Код_КВР,0)),"",INDIRECT(ADDRESS(MATCH(E1252,Код_КВР,0)+1,2,,,"КВР")))</f>
        <v>Субсидии бюджетным учреждениям</v>
      </c>
      <c r="B1252" s="79" t="s">
        <v>596</v>
      </c>
      <c r="C1252" s="65" t="s">
        <v>70</v>
      </c>
      <c r="D1252" s="46" t="s">
        <v>55</v>
      </c>
      <c r="E1252" s="26">
        <v>610</v>
      </c>
      <c r="F1252" s="62">
        <f>'прил. 8'!G102</f>
        <v>58803.8</v>
      </c>
      <c r="G1252" s="62">
        <f>'прил. 8'!H102</f>
        <v>0</v>
      </c>
      <c r="H1252" s="49">
        <f t="shared" si="268"/>
        <v>58803.8</v>
      </c>
      <c r="I1252" s="62">
        <f>'прил. 8'!J102</f>
        <v>0</v>
      </c>
      <c r="J1252" s="49">
        <f t="shared" si="259"/>
        <v>58803.8</v>
      </c>
      <c r="K1252" s="62">
        <f>'прил. 8'!L102</f>
        <v>0</v>
      </c>
      <c r="L1252" s="49">
        <f t="shared" si="254"/>
        <v>58803.8</v>
      </c>
      <c r="M1252" s="62">
        <f>'прил. 8'!N102</f>
        <v>0</v>
      </c>
      <c r="N1252" s="49">
        <f t="shared" si="265"/>
        <v>58803.8</v>
      </c>
    </row>
    <row r="1253" spans="1:14" ht="49.5" x14ac:dyDescent="0.2">
      <c r="A1253" s="50" t="str">
        <f ca="1">IF(ISERROR(MATCH(B1253,Код_КЦСР,0)),"",INDIRECT(ADDRESS(MATCH(B1253,Код_КЦСР,0)+1,2,,,"КЦСР")))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2020 годы</v>
      </c>
      <c r="B1253" s="79" t="s">
        <v>389</v>
      </c>
      <c r="C1253" s="65"/>
      <c r="D1253" s="46"/>
      <c r="E1253" s="26"/>
      <c r="F1253" s="62">
        <f>F1254+F1259+F1264+F1277</f>
        <v>55394</v>
      </c>
      <c r="G1253" s="62">
        <f>G1254+G1259+G1264+G1277</f>
        <v>0</v>
      </c>
      <c r="H1253" s="49">
        <f t="shared" si="268"/>
        <v>55394</v>
      </c>
      <c r="I1253" s="62">
        <f>I1254+I1259+I1264+I1277</f>
        <v>0</v>
      </c>
      <c r="J1253" s="49">
        <f t="shared" si="259"/>
        <v>55394</v>
      </c>
      <c r="K1253" s="62">
        <f>K1254+K1259+K1264+K1277+K1282</f>
        <v>1942.4</v>
      </c>
      <c r="L1253" s="49">
        <f t="shared" si="254"/>
        <v>57336.4</v>
      </c>
      <c r="M1253" s="62">
        <f>M1254+M1259+M1264+M1277+M1282</f>
        <v>9.4</v>
      </c>
      <c r="N1253" s="49">
        <f t="shared" si="265"/>
        <v>57345.8</v>
      </c>
    </row>
    <row r="1254" spans="1:14" ht="66" x14ac:dyDescent="0.2">
      <c r="A1254" s="50" t="str">
        <f ca="1">IF(ISERROR(MATCH(B1254,Код_КЦСР,0)),"",INDIRECT(ADDRESS(MATCH(B1254,Код_КЦСР,0)+1,2,,,"КЦСР")))</f>
        <v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v>
      </c>
      <c r="B1254" s="79" t="s">
        <v>390</v>
      </c>
      <c r="C1254" s="65"/>
      <c r="D1254" s="46"/>
      <c r="E1254" s="26"/>
      <c r="F1254" s="62">
        <f>F1255</f>
        <v>549.29999999999995</v>
      </c>
      <c r="G1254" s="62">
        <f>G1255</f>
        <v>0</v>
      </c>
      <c r="H1254" s="49">
        <f t="shared" si="268"/>
        <v>549.29999999999995</v>
      </c>
      <c r="I1254" s="62">
        <f>I1255</f>
        <v>0</v>
      </c>
      <c r="J1254" s="49">
        <f t="shared" si="259"/>
        <v>549.29999999999995</v>
      </c>
      <c r="K1254" s="62">
        <f>K1255</f>
        <v>0</v>
      </c>
      <c r="L1254" s="49">
        <f t="shared" si="254"/>
        <v>549.29999999999995</v>
      </c>
      <c r="M1254" s="62">
        <f>M1255</f>
        <v>0</v>
      </c>
      <c r="N1254" s="49">
        <f t="shared" si="265"/>
        <v>549.29999999999995</v>
      </c>
    </row>
    <row r="1255" spans="1:14" x14ac:dyDescent="0.2">
      <c r="A1255" s="50" t="str">
        <f ca="1">IF(ISERROR(MATCH(C1255,Код_Раздел,0)),"",INDIRECT(ADDRESS(MATCH(C1255,Код_Раздел,0)+1,2,,,"Раздел")))</f>
        <v>Общегосударственные вопросы</v>
      </c>
      <c r="B1255" s="79" t="s">
        <v>390</v>
      </c>
      <c r="C1255" s="65" t="s">
        <v>70</v>
      </c>
      <c r="D1255" s="46"/>
      <c r="E1255" s="26"/>
      <c r="F1255" s="62">
        <f t="shared" ref="F1255:M1257" si="270">F1256</f>
        <v>549.29999999999995</v>
      </c>
      <c r="G1255" s="62">
        <f t="shared" si="270"/>
        <v>0</v>
      </c>
      <c r="H1255" s="49">
        <f t="shared" si="268"/>
        <v>549.29999999999995</v>
      </c>
      <c r="I1255" s="62">
        <f t="shared" si="270"/>
        <v>0</v>
      </c>
      <c r="J1255" s="49">
        <f t="shared" si="259"/>
        <v>549.29999999999995</v>
      </c>
      <c r="K1255" s="62">
        <f t="shared" si="270"/>
        <v>0</v>
      </c>
      <c r="L1255" s="49">
        <f t="shared" si="254"/>
        <v>549.29999999999995</v>
      </c>
      <c r="M1255" s="62">
        <f t="shared" si="270"/>
        <v>0</v>
      </c>
      <c r="N1255" s="49">
        <f t="shared" si="265"/>
        <v>549.29999999999995</v>
      </c>
    </row>
    <row r="1256" spans="1:14" x14ac:dyDescent="0.2">
      <c r="A1256" s="45" t="s">
        <v>91</v>
      </c>
      <c r="B1256" s="79" t="s">
        <v>390</v>
      </c>
      <c r="C1256" s="65" t="s">
        <v>70</v>
      </c>
      <c r="D1256" s="46" t="s">
        <v>55</v>
      </c>
      <c r="E1256" s="26"/>
      <c r="F1256" s="62">
        <f t="shared" si="270"/>
        <v>549.29999999999995</v>
      </c>
      <c r="G1256" s="62">
        <f t="shared" si="270"/>
        <v>0</v>
      </c>
      <c r="H1256" s="49">
        <f t="shared" si="268"/>
        <v>549.29999999999995</v>
      </c>
      <c r="I1256" s="62">
        <f t="shared" si="270"/>
        <v>0</v>
      </c>
      <c r="J1256" s="49">
        <f t="shared" si="259"/>
        <v>549.29999999999995</v>
      </c>
      <c r="K1256" s="62">
        <f t="shared" si="270"/>
        <v>0</v>
      </c>
      <c r="L1256" s="49">
        <f t="shared" ref="L1256:L1319" si="271">J1256+K1256</f>
        <v>549.29999999999995</v>
      </c>
      <c r="M1256" s="62">
        <f t="shared" si="270"/>
        <v>0</v>
      </c>
      <c r="N1256" s="49">
        <f t="shared" si="265"/>
        <v>549.29999999999995</v>
      </c>
    </row>
    <row r="1257" spans="1:14" ht="33" x14ac:dyDescent="0.2">
      <c r="A1257" s="50" t="str">
        <f ca="1">IF(ISERROR(MATCH(E1257,Код_КВР,0)),"",INDIRECT(ADDRESS(MATCH(E1257,Код_КВР,0)+1,2,,,"КВР")))</f>
        <v>Закупка товаров, работ и услуг для обеспечения государственных (муниципальных) нужд</v>
      </c>
      <c r="B1257" s="79" t="s">
        <v>390</v>
      </c>
      <c r="C1257" s="65" t="s">
        <v>70</v>
      </c>
      <c r="D1257" s="46" t="s">
        <v>55</v>
      </c>
      <c r="E1257" s="26">
        <v>200</v>
      </c>
      <c r="F1257" s="62">
        <f t="shared" si="270"/>
        <v>549.29999999999995</v>
      </c>
      <c r="G1257" s="62">
        <f t="shared" si="270"/>
        <v>0</v>
      </c>
      <c r="H1257" s="49">
        <f t="shared" si="268"/>
        <v>549.29999999999995</v>
      </c>
      <c r="I1257" s="62">
        <f t="shared" si="270"/>
        <v>0</v>
      </c>
      <c r="J1257" s="49">
        <f t="shared" si="259"/>
        <v>549.29999999999995</v>
      </c>
      <c r="K1257" s="62">
        <f t="shared" si="270"/>
        <v>0</v>
      </c>
      <c r="L1257" s="49">
        <f t="shared" si="271"/>
        <v>549.29999999999995</v>
      </c>
      <c r="M1257" s="62">
        <f t="shared" si="270"/>
        <v>0</v>
      </c>
      <c r="N1257" s="49">
        <f t="shared" si="265"/>
        <v>549.29999999999995</v>
      </c>
    </row>
    <row r="1258" spans="1:14" ht="33" x14ac:dyDescent="0.2">
      <c r="A1258" s="50" t="str">
        <f ca="1">IF(ISERROR(MATCH(E1258,Код_КВР,0)),"",INDIRECT(ADDRESS(MATCH(E1258,Код_КВР,0)+1,2,,,"КВР")))</f>
        <v>Иные закупки товаров, работ и услуг для обеспечения государственных (муниципальных) нужд</v>
      </c>
      <c r="B1258" s="79" t="s">
        <v>390</v>
      </c>
      <c r="C1258" s="65" t="s">
        <v>70</v>
      </c>
      <c r="D1258" s="46" t="s">
        <v>55</v>
      </c>
      <c r="E1258" s="26">
        <v>240</v>
      </c>
      <c r="F1258" s="62">
        <f>'прил. 8'!G106</f>
        <v>549.29999999999995</v>
      </c>
      <c r="G1258" s="62">
        <f>'прил. 8'!H106</f>
        <v>0</v>
      </c>
      <c r="H1258" s="49">
        <f t="shared" si="268"/>
        <v>549.29999999999995</v>
      </c>
      <c r="I1258" s="62">
        <f>'прил. 8'!J106</f>
        <v>0</v>
      </c>
      <c r="J1258" s="49">
        <f t="shared" si="259"/>
        <v>549.29999999999995</v>
      </c>
      <c r="K1258" s="62">
        <f>'прил. 8'!L106</f>
        <v>0</v>
      </c>
      <c r="L1258" s="49">
        <f t="shared" si="271"/>
        <v>549.29999999999995</v>
      </c>
      <c r="M1258" s="62">
        <f>'прил. 8'!N106</f>
        <v>0</v>
      </c>
      <c r="N1258" s="49">
        <f t="shared" si="265"/>
        <v>549.29999999999995</v>
      </c>
    </row>
    <row r="1259" spans="1:14" ht="33" x14ac:dyDescent="0.2">
      <c r="A1259" s="50" t="str">
        <f ca="1">IF(ISERROR(MATCH(B1259,Код_КЦСР,0)),"",INDIRECT(ADDRESS(MATCH(B1259,Код_КЦСР,0)+1,2,,,"КЦСР")))</f>
        <v>Формирование положительного имиджа Череповца на межрегиональном уровне посредством участия города в деятельности союзов и ассоциаций</v>
      </c>
      <c r="B1259" s="79" t="s">
        <v>391</v>
      </c>
      <c r="C1259" s="65"/>
      <c r="D1259" s="46"/>
      <c r="E1259" s="26"/>
      <c r="F1259" s="62">
        <f>F1260</f>
        <v>591.9</v>
      </c>
      <c r="G1259" s="62">
        <f>G1260</f>
        <v>0</v>
      </c>
      <c r="H1259" s="49">
        <f t="shared" si="268"/>
        <v>591.9</v>
      </c>
      <c r="I1259" s="62">
        <f>I1260</f>
        <v>0</v>
      </c>
      <c r="J1259" s="49">
        <f t="shared" si="259"/>
        <v>591.9</v>
      </c>
      <c r="K1259" s="62">
        <f>K1260</f>
        <v>0</v>
      </c>
      <c r="L1259" s="49">
        <f t="shared" si="271"/>
        <v>591.9</v>
      </c>
      <c r="M1259" s="62">
        <f>M1260</f>
        <v>9.4</v>
      </c>
      <c r="N1259" s="49">
        <f t="shared" si="265"/>
        <v>601.29999999999995</v>
      </c>
    </row>
    <row r="1260" spans="1:14" x14ac:dyDescent="0.2">
      <c r="A1260" s="50" t="str">
        <f ca="1">IF(ISERROR(MATCH(C1260,Код_Раздел,0)),"",INDIRECT(ADDRESS(MATCH(C1260,Код_Раздел,0)+1,2,,,"Раздел")))</f>
        <v>Общегосударственные вопросы</v>
      </c>
      <c r="B1260" s="79" t="s">
        <v>391</v>
      </c>
      <c r="C1260" s="65" t="s">
        <v>70</v>
      </c>
      <c r="D1260" s="46"/>
      <c r="E1260" s="26"/>
      <c r="F1260" s="62">
        <f t="shared" ref="F1260:M1262" si="272">F1261</f>
        <v>591.9</v>
      </c>
      <c r="G1260" s="62">
        <f t="shared" si="272"/>
        <v>0</v>
      </c>
      <c r="H1260" s="49">
        <f t="shared" si="268"/>
        <v>591.9</v>
      </c>
      <c r="I1260" s="62">
        <f t="shared" si="272"/>
        <v>0</v>
      </c>
      <c r="J1260" s="49">
        <f t="shared" si="259"/>
        <v>591.9</v>
      </c>
      <c r="K1260" s="62">
        <f t="shared" si="272"/>
        <v>0</v>
      </c>
      <c r="L1260" s="49">
        <f t="shared" si="271"/>
        <v>591.9</v>
      </c>
      <c r="M1260" s="62">
        <f t="shared" si="272"/>
        <v>9.4</v>
      </c>
      <c r="N1260" s="49">
        <f t="shared" si="265"/>
        <v>601.29999999999995</v>
      </c>
    </row>
    <row r="1261" spans="1:14" x14ac:dyDescent="0.2">
      <c r="A1261" s="45" t="s">
        <v>91</v>
      </c>
      <c r="B1261" s="79" t="s">
        <v>391</v>
      </c>
      <c r="C1261" s="65" t="s">
        <v>70</v>
      </c>
      <c r="D1261" s="46" t="s">
        <v>55</v>
      </c>
      <c r="E1261" s="26"/>
      <c r="F1261" s="62">
        <f t="shared" si="272"/>
        <v>591.9</v>
      </c>
      <c r="G1261" s="62">
        <f t="shared" si="272"/>
        <v>0</v>
      </c>
      <c r="H1261" s="49">
        <f t="shared" si="268"/>
        <v>591.9</v>
      </c>
      <c r="I1261" s="62">
        <f t="shared" si="272"/>
        <v>0</v>
      </c>
      <c r="J1261" s="49">
        <f t="shared" si="259"/>
        <v>591.9</v>
      </c>
      <c r="K1261" s="62">
        <f t="shared" si="272"/>
        <v>0</v>
      </c>
      <c r="L1261" s="49">
        <f t="shared" si="271"/>
        <v>591.9</v>
      </c>
      <c r="M1261" s="62">
        <f t="shared" si="272"/>
        <v>9.4</v>
      </c>
      <c r="N1261" s="49">
        <f t="shared" si="265"/>
        <v>601.29999999999995</v>
      </c>
    </row>
    <row r="1262" spans="1:14" x14ac:dyDescent="0.2">
      <c r="A1262" s="50" t="str">
        <f ca="1">IF(ISERROR(MATCH(E1262,Код_КВР,0)),"",INDIRECT(ADDRESS(MATCH(E1262,Код_КВР,0)+1,2,,,"КВР")))</f>
        <v>Иные бюджетные ассигнования</v>
      </c>
      <c r="B1262" s="79" t="s">
        <v>391</v>
      </c>
      <c r="C1262" s="65" t="s">
        <v>70</v>
      </c>
      <c r="D1262" s="46" t="s">
        <v>55</v>
      </c>
      <c r="E1262" s="26">
        <v>800</v>
      </c>
      <c r="F1262" s="62">
        <f t="shared" si="272"/>
        <v>591.9</v>
      </c>
      <c r="G1262" s="62">
        <f t="shared" si="272"/>
        <v>0</v>
      </c>
      <c r="H1262" s="49">
        <f t="shared" si="268"/>
        <v>591.9</v>
      </c>
      <c r="I1262" s="62">
        <f t="shared" si="272"/>
        <v>0</v>
      </c>
      <c r="J1262" s="49">
        <f t="shared" si="259"/>
        <v>591.9</v>
      </c>
      <c r="K1262" s="62">
        <f t="shared" si="272"/>
        <v>0</v>
      </c>
      <c r="L1262" s="49">
        <f t="shared" si="271"/>
        <v>591.9</v>
      </c>
      <c r="M1262" s="62">
        <f t="shared" si="272"/>
        <v>9.4</v>
      </c>
      <c r="N1262" s="49">
        <f t="shared" si="265"/>
        <v>601.29999999999995</v>
      </c>
    </row>
    <row r="1263" spans="1:14" x14ac:dyDescent="0.2">
      <c r="A1263" s="50" t="str">
        <f ca="1">IF(ISERROR(MATCH(E1263,Код_КВР,0)),"",INDIRECT(ADDRESS(MATCH(E1263,Код_КВР,0)+1,2,,,"КВР")))</f>
        <v>Уплата налогов, сборов и иных платежей</v>
      </c>
      <c r="B1263" s="79" t="s">
        <v>391</v>
      </c>
      <c r="C1263" s="65" t="s">
        <v>70</v>
      </c>
      <c r="D1263" s="46" t="s">
        <v>55</v>
      </c>
      <c r="E1263" s="26">
        <v>850</v>
      </c>
      <c r="F1263" s="62">
        <f>'прил. 8'!G109</f>
        <v>591.9</v>
      </c>
      <c r="G1263" s="62">
        <f>'прил. 8'!H109</f>
        <v>0</v>
      </c>
      <c r="H1263" s="49">
        <f t="shared" si="268"/>
        <v>591.9</v>
      </c>
      <c r="I1263" s="62">
        <f>'прил. 8'!J109</f>
        <v>0</v>
      </c>
      <c r="J1263" s="49">
        <f t="shared" si="259"/>
        <v>591.9</v>
      </c>
      <c r="K1263" s="62">
        <f>'прил. 8'!L109</f>
        <v>0</v>
      </c>
      <c r="L1263" s="49">
        <f t="shared" si="271"/>
        <v>591.9</v>
      </c>
      <c r="M1263" s="62">
        <f>'прил. 8'!N109</f>
        <v>9.4</v>
      </c>
      <c r="N1263" s="49">
        <f t="shared" si="265"/>
        <v>601.29999999999995</v>
      </c>
    </row>
    <row r="1264" spans="1:14" ht="66" x14ac:dyDescent="0.2">
      <c r="A1264" s="50" t="str">
        <f ca="1">IF(ISERROR(MATCH(B1264,Код_КЦСР,0)),"",INDIRECT(ADDRESS(MATCH(B1264,Код_КЦСР,0)+1,2,,,"КЦСР")))</f>
        <v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v>
      </c>
      <c r="B1264" s="79" t="s">
        <v>393</v>
      </c>
      <c r="C1264" s="65"/>
      <c r="D1264" s="46"/>
      <c r="E1264" s="26"/>
      <c r="F1264" s="62">
        <f>F1269+F1265</f>
        <v>30123</v>
      </c>
      <c r="G1264" s="62">
        <f>G1269+G1265</f>
        <v>0</v>
      </c>
      <c r="H1264" s="49">
        <f t="shared" si="268"/>
        <v>30123</v>
      </c>
      <c r="I1264" s="62">
        <f>I1269+I1265</f>
        <v>0</v>
      </c>
      <c r="J1264" s="49">
        <f t="shared" si="259"/>
        <v>30123</v>
      </c>
      <c r="K1264" s="62">
        <f>K1269+K1265</f>
        <v>0</v>
      </c>
      <c r="L1264" s="49">
        <f t="shared" si="271"/>
        <v>30123</v>
      </c>
      <c r="M1264" s="62">
        <f>M1269+M1265</f>
        <v>0</v>
      </c>
      <c r="N1264" s="49">
        <f t="shared" si="265"/>
        <v>30123</v>
      </c>
    </row>
    <row r="1265" spans="1:14" x14ac:dyDescent="0.2">
      <c r="A1265" s="50" t="str">
        <f ca="1">IF(ISERROR(MATCH(C1265,Код_Раздел,0)),"",INDIRECT(ADDRESS(MATCH(C1265,Код_Раздел,0)+1,2,,,"Раздел")))</f>
        <v>Образование</v>
      </c>
      <c r="B1265" s="79" t="s">
        <v>393</v>
      </c>
      <c r="C1265" s="65" t="s">
        <v>60</v>
      </c>
      <c r="D1265" s="46"/>
      <c r="E1265" s="26"/>
      <c r="F1265" s="62">
        <f t="shared" ref="F1265:M1267" si="273">F1266</f>
        <v>17</v>
      </c>
      <c r="G1265" s="62">
        <f t="shared" si="273"/>
        <v>0</v>
      </c>
      <c r="H1265" s="49">
        <f t="shared" si="268"/>
        <v>17</v>
      </c>
      <c r="I1265" s="62">
        <f t="shared" si="273"/>
        <v>0</v>
      </c>
      <c r="J1265" s="49">
        <f t="shared" si="259"/>
        <v>17</v>
      </c>
      <c r="K1265" s="62">
        <f t="shared" si="273"/>
        <v>0</v>
      </c>
      <c r="L1265" s="49">
        <f t="shared" si="271"/>
        <v>17</v>
      </c>
      <c r="M1265" s="62">
        <f t="shared" si="273"/>
        <v>0</v>
      </c>
      <c r="N1265" s="49">
        <f t="shared" si="265"/>
        <v>17</v>
      </c>
    </row>
    <row r="1266" spans="1:14" x14ac:dyDescent="0.2">
      <c r="A1266" s="45" t="s">
        <v>532</v>
      </c>
      <c r="B1266" s="79" t="s">
        <v>393</v>
      </c>
      <c r="C1266" s="65" t="s">
        <v>60</v>
      </c>
      <c r="D1266" s="46" t="s">
        <v>78</v>
      </c>
      <c r="E1266" s="26"/>
      <c r="F1266" s="62">
        <f t="shared" si="273"/>
        <v>17</v>
      </c>
      <c r="G1266" s="62">
        <f t="shared" si="273"/>
        <v>0</v>
      </c>
      <c r="H1266" s="49">
        <f t="shared" si="268"/>
        <v>17</v>
      </c>
      <c r="I1266" s="62">
        <f t="shared" si="273"/>
        <v>0</v>
      </c>
      <c r="J1266" s="49">
        <f t="shared" si="259"/>
        <v>17</v>
      </c>
      <c r="K1266" s="62">
        <f t="shared" si="273"/>
        <v>0</v>
      </c>
      <c r="L1266" s="49">
        <f t="shared" si="271"/>
        <v>17</v>
      </c>
      <c r="M1266" s="62">
        <f t="shared" si="273"/>
        <v>0</v>
      </c>
      <c r="N1266" s="49">
        <f t="shared" si="265"/>
        <v>17</v>
      </c>
    </row>
    <row r="1267" spans="1:14" ht="33" x14ac:dyDescent="0.2">
      <c r="A1267" s="50" t="str">
        <f t="shared" ref="A1267:A1268" ca="1" si="274">IF(ISERROR(MATCH(E1267,Код_КВР,0)),"",INDIRECT(ADDRESS(MATCH(E1267,Код_КВР,0)+1,2,,,"КВР")))</f>
        <v>Закупка товаров, работ и услуг для обеспечения государственных (муниципальных) нужд</v>
      </c>
      <c r="B1267" s="79" t="s">
        <v>393</v>
      </c>
      <c r="C1267" s="65" t="s">
        <v>60</v>
      </c>
      <c r="D1267" s="46" t="s">
        <v>78</v>
      </c>
      <c r="E1267" s="26">
        <v>200</v>
      </c>
      <c r="F1267" s="62">
        <f t="shared" si="273"/>
        <v>17</v>
      </c>
      <c r="G1267" s="62">
        <f t="shared" si="273"/>
        <v>0</v>
      </c>
      <c r="H1267" s="49">
        <f t="shared" si="268"/>
        <v>17</v>
      </c>
      <c r="I1267" s="62">
        <f t="shared" si="273"/>
        <v>0</v>
      </c>
      <c r="J1267" s="49">
        <f t="shared" si="259"/>
        <v>17</v>
      </c>
      <c r="K1267" s="62">
        <f t="shared" si="273"/>
        <v>0</v>
      </c>
      <c r="L1267" s="49">
        <f t="shared" si="271"/>
        <v>17</v>
      </c>
      <c r="M1267" s="62">
        <f t="shared" si="273"/>
        <v>0</v>
      </c>
      <c r="N1267" s="49">
        <f t="shared" si="265"/>
        <v>17</v>
      </c>
    </row>
    <row r="1268" spans="1:14" ht="33" x14ac:dyDescent="0.2">
      <c r="A1268" s="50" t="str">
        <f t="shared" ca="1" si="274"/>
        <v>Иные закупки товаров, работ и услуг для обеспечения государственных (муниципальных) нужд</v>
      </c>
      <c r="B1268" s="79" t="s">
        <v>393</v>
      </c>
      <c r="C1268" s="65" t="s">
        <v>60</v>
      </c>
      <c r="D1268" s="46" t="s">
        <v>78</v>
      </c>
      <c r="E1268" s="26">
        <v>240</v>
      </c>
      <c r="F1268" s="62">
        <f>'прил. 8'!G328</f>
        <v>17</v>
      </c>
      <c r="G1268" s="62">
        <f>'прил. 8'!H328</f>
        <v>0</v>
      </c>
      <c r="H1268" s="49">
        <f t="shared" si="268"/>
        <v>17</v>
      </c>
      <c r="I1268" s="62">
        <f>'прил. 8'!J328</f>
        <v>0</v>
      </c>
      <c r="J1268" s="49">
        <f t="shared" si="259"/>
        <v>17</v>
      </c>
      <c r="K1268" s="62">
        <f>'прил. 8'!L328</f>
        <v>0</v>
      </c>
      <c r="L1268" s="49">
        <f t="shared" si="271"/>
        <v>17</v>
      </c>
      <c r="M1268" s="62">
        <f>'прил. 8'!N328</f>
        <v>0</v>
      </c>
      <c r="N1268" s="49">
        <f t="shared" si="265"/>
        <v>17</v>
      </c>
    </row>
    <row r="1269" spans="1:14" x14ac:dyDescent="0.2">
      <c r="A1269" s="50" t="str">
        <f ca="1">IF(ISERROR(MATCH(C1269,Код_Раздел,0)),"",INDIRECT(ADDRESS(MATCH(C1269,Код_Раздел,0)+1,2,,,"Раздел")))</f>
        <v>Средства массовой информации</v>
      </c>
      <c r="B1269" s="79" t="s">
        <v>393</v>
      </c>
      <c r="C1269" s="65" t="s">
        <v>61</v>
      </c>
      <c r="D1269" s="46"/>
      <c r="E1269" s="26"/>
      <c r="F1269" s="62">
        <f t="shared" ref="F1269:M1269" si="275">F1270</f>
        <v>30106</v>
      </c>
      <c r="G1269" s="62">
        <f t="shared" si="275"/>
        <v>0</v>
      </c>
      <c r="H1269" s="49">
        <f t="shared" si="268"/>
        <v>30106</v>
      </c>
      <c r="I1269" s="62">
        <f t="shared" si="275"/>
        <v>0</v>
      </c>
      <c r="J1269" s="49">
        <f t="shared" si="259"/>
        <v>30106</v>
      </c>
      <c r="K1269" s="62">
        <f t="shared" si="275"/>
        <v>0</v>
      </c>
      <c r="L1269" s="49">
        <f t="shared" si="271"/>
        <v>30106</v>
      </c>
      <c r="M1269" s="62">
        <f t="shared" si="275"/>
        <v>0</v>
      </c>
      <c r="N1269" s="49">
        <f t="shared" si="265"/>
        <v>30106</v>
      </c>
    </row>
    <row r="1270" spans="1:14" x14ac:dyDescent="0.2">
      <c r="A1270" s="45" t="s">
        <v>62</v>
      </c>
      <c r="B1270" s="79" t="s">
        <v>393</v>
      </c>
      <c r="C1270" s="65" t="s">
        <v>61</v>
      </c>
      <c r="D1270" s="46" t="s">
        <v>71</v>
      </c>
      <c r="E1270" s="26"/>
      <c r="F1270" s="62">
        <f>F1271+F1273+F1275</f>
        <v>30106</v>
      </c>
      <c r="G1270" s="62">
        <f>G1271+G1273+G1275</f>
        <v>0</v>
      </c>
      <c r="H1270" s="49">
        <f t="shared" si="268"/>
        <v>30106</v>
      </c>
      <c r="I1270" s="62">
        <f>I1271+I1273+I1275</f>
        <v>0</v>
      </c>
      <c r="J1270" s="49">
        <f t="shared" si="259"/>
        <v>30106</v>
      </c>
      <c r="K1270" s="62">
        <f>K1271+K1273+K1275</f>
        <v>0</v>
      </c>
      <c r="L1270" s="49">
        <f t="shared" si="271"/>
        <v>30106</v>
      </c>
      <c r="M1270" s="62">
        <f>M1271+M1273+M1275</f>
        <v>0</v>
      </c>
      <c r="N1270" s="49">
        <f t="shared" si="265"/>
        <v>30106</v>
      </c>
    </row>
    <row r="1271" spans="1:14" ht="49.5" x14ac:dyDescent="0.2">
      <c r="A1271" s="50" t="str">
        <f t="shared" ref="A1271:A1276" ca="1" si="276">IF(ISERROR(MATCH(E1271,Код_КВР,0)),"",INDIRECT(ADDRESS(MATCH(E1271,Код_КВР,0)+1,2,,,"КВР")))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71" s="79" t="s">
        <v>393</v>
      </c>
      <c r="C1271" s="65" t="s">
        <v>61</v>
      </c>
      <c r="D1271" s="46" t="s">
        <v>71</v>
      </c>
      <c r="E1271" s="26">
        <v>100</v>
      </c>
      <c r="F1271" s="62">
        <f>F1272</f>
        <v>24939</v>
      </c>
      <c r="G1271" s="62">
        <f>G1272</f>
        <v>0</v>
      </c>
      <c r="H1271" s="49">
        <f t="shared" si="268"/>
        <v>24939</v>
      </c>
      <c r="I1271" s="62">
        <f>I1272</f>
        <v>0</v>
      </c>
      <c r="J1271" s="49">
        <f t="shared" si="259"/>
        <v>24939</v>
      </c>
      <c r="K1271" s="62">
        <f>K1272</f>
        <v>165</v>
      </c>
      <c r="L1271" s="49">
        <f t="shared" si="271"/>
        <v>25104</v>
      </c>
      <c r="M1271" s="62">
        <f>M1272</f>
        <v>0</v>
      </c>
      <c r="N1271" s="49">
        <f t="shared" si="265"/>
        <v>25104</v>
      </c>
    </row>
    <row r="1272" spans="1:14" x14ac:dyDescent="0.2">
      <c r="A1272" s="50" t="str">
        <f t="shared" ca="1" si="276"/>
        <v>Расходы на выплаты персоналу казенных учреждений</v>
      </c>
      <c r="B1272" s="79" t="s">
        <v>393</v>
      </c>
      <c r="C1272" s="65" t="s">
        <v>61</v>
      </c>
      <c r="D1272" s="46" t="s">
        <v>71</v>
      </c>
      <c r="E1272" s="26">
        <v>110</v>
      </c>
      <c r="F1272" s="62">
        <f>'прил. 8'!G447</f>
        <v>24939</v>
      </c>
      <c r="G1272" s="62">
        <f>'прил. 8'!H447</f>
        <v>0</v>
      </c>
      <c r="H1272" s="49">
        <f t="shared" si="268"/>
        <v>24939</v>
      </c>
      <c r="I1272" s="62">
        <f>'прил. 8'!J447</f>
        <v>0</v>
      </c>
      <c r="J1272" s="49">
        <f t="shared" si="259"/>
        <v>24939</v>
      </c>
      <c r="K1272" s="62">
        <f>'прил. 8'!L447</f>
        <v>165</v>
      </c>
      <c r="L1272" s="49">
        <f t="shared" si="271"/>
        <v>25104</v>
      </c>
      <c r="M1272" s="62">
        <f>'прил. 8'!N447</f>
        <v>0</v>
      </c>
      <c r="N1272" s="49">
        <f t="shared" si="265"/>
        <v>25104</v>
      </c>
    </row>
    <row r="1273" spans="1:14" ht="33" x14ac:dyDescent="0.2">
      <c r="A1273" s="50" t="str">
        <f t="shared" ca="1" si="276"/>
        <v>Закупка товаров, работ и услуг для обеспечения государственных (муниципальных) нужд</v>
      </c>
      <c r="B1273" s="79" t="s">
        <v>393</v>
      </c>
      <c r="C1273" s="65" t="s">
        <v>61</v>
      </c>
      <c r="D1273" s="46" t="s">
        <v>71</v>
      </c>
      <c r="E1273" s="26">
        <v>200</v>
      </c>
      <c r="F1273" s="62">
        <f>F1274</f>
        <v>5127.2</v>
      </c>
      <c r="G1273" s="62">
        <f>G1274</f>
        <v>0</v>
      </c>
      <c r="H1273" s="49">
        <f t="shared" si="268"/>
        <v>5127.2</v>
      </c>
      <c r="I1273" s="62">
        <f>I1274</f>
        <v>0</v>
      </c>
      <c r="J1273" s="49">
        <f t="shared" si="259"/>
        <v>5127.2</v>
      </c>
      <c r="K1273" s="62">
        <f>K1274</f>
        <v>-165</v>
      </c>
      <c r="L1273" s="49">
        <f t="shared" si="271"/>
        <v>4962.2</v>
      </c>
      <c r="M1273" s="62">
        <f>M1274</f>
        <v>0</v>
      </c>
      <c r="N1273" s="49">
        <f t="shared" si="265"/>
        <v>4962.2</v>
      </c>
    </row>
    <row r="1274" spans="1:14" ht="33" x14ac:dyDescent="0.2">
      <c r="A1274" s="50" t="str">
        <f t="shared" ca="1" si="276"/>
        <v>Иные закупки товаров, работ и услуг для обеспечения государственных (муниципальных) нужд</v>
      </c>
      <c r="B1274" s="79" t="s">
        <v>393</v>
      </c>
      <c r="C1274" s="65" t="s">
        <v>61</v>
      </c>
      <c r="D1274" s="46" t="s">
        <v>71</v>
      </c>
      <c r="E1274" s="26">
        <v>240</v>
      </c>
      <c r="F1274" s="62">
        <f>'прил. 8'!G449</f>
        <v>5127.2</v>
      </c>
      <c r="G1274" s="62">
        <f>'прил. 8'!H449</f>
        <v>0</v>
      </c>
      <c r="H1274" s="49">
        <f t="shared" si="268"/>
        <v>5127.2</v>
      </c>
      <c r="I1274" s="62">
        <f>'прил. 8'!J449</f>
        <v>0</v>
      </c>
      <c r="J1274" s="49">
        <f t="shared" si="259"/>
        <v>5127.2</v>
      </c>
      <c r="K1274" s="62">
        <f>'прил. 8'!L449</f>
        <v>-165</v>
      </c>
      <c r="L1274" s="49">
        <f t="shared" si="271"/>
        <v>4962.2</v>
      </c>
      <c r="M1274" s="62">
        <f>'прил. 8'!N449</f>
        <v>0</v>
      </c>
      <c r="N1274" s="49">
        <f t="shared" si="265"/>
        <v>4962.2</v>
      </c>
    </row>
    <row r="1275" spans="1:14" x14ac:dyDescent="0.2">
      <c r="A1275" s="50" t="str">
        <f t="shared" ca="1" si="276"/>
        <v>Иные бюджетные ассигнования</v>
      </c>
      <c r="B1275" s="79" t="s">
        <v>393</v>
      </c>
      <c r="C1275" s="65" t="s">
        <v>61</v>
      </c>
      <c r="D1275" s="46" t="s">
        <v>71</v>
      </c>
      <c r="E1275" s="26">
        <v>800</v>
      </c>
      <c r="F1275" s="62">
        <f>F1276</f>
        <v>39.800000000000004</v>
      </c>
      <c r="G1275" s="62">
        <f>G1276</f>
        <v>0</v>
      </c>
      <c r="H1275" s="49">
        <f t="shared" si="268"/>
        <v>39.800000000000004</v>
      </c>
      <c r="I1275" s="62">
        <f>I1276</f>
        <v>0</v>
      </c>
      <c r="J1275" s="49">
        <f t="shared" si="259"/>
        <v>39.800000000000004</v>
      </c>
      <c r="K1275" s="62">
        <f>K1276</f>
        <v>0</v>
      </c>
      <c r="L1275" s="49">
        <f t="shared" si="271"/>
        <v>39.800000000000004</v>
      </c>
      <c r="M1275" s="62">
        <f>M1276</f>
        <v>0</v>
      </c>
      <c r="N1275" s="49">
        <f t="shared" si="265"/>
        <v>39.800000000000004</v>
      </c>
    </row>
    <row r="1276" spans="1:14" x14ac:dyDescent="0.2">
      <c r="A1276" s="50" t="str">
        <f t="shared" ca="1" si="276"/>
        <v>Уплата налогов, сборов и иных платежей</v>
      </c>
      <c r="B1276" s="79" t="s">
        <v>393</v>
      </c>
      <c r="C1276" s="65" t="s">
        <v>61</v>
      </c>
      <c r="D1276" s="46" t="s">
        <v>71</v>
      </c>
      <c r="E1276" s="26">
        <v>850</v>
      </c>
      <c r="F1276" s="62">
        <f>'прил. 8'!G451</f>
        <v>39.800000000000004</v>
      </c>
      <c r="G1276" s="62">
        <f>'прил. 8'!H451</f>
        <v>0</v>
      </c>
      <c r="H1276" s="49">
        <f t="shared" si="268"/>
        <v>39.800000000000004</v>
      </c>
      <c r="I1276" s="62">
        <f>'прил. 8'!J451</f>
        <v>0</v>
      </c>
      <c r="J1276" s="49">
        <f t="shared" si="259"/>
        <v>39.800000000000004</v>
      </c>
      <c r="K1276" s="62">
        <f>'прил. 8'!L451</f>
        <v>0</v>
      </c>
      <c r="L1276" s="49">
        <f t="shared" si="271"/>
        <v>39.800000000000004</v>
      </c>
      <c r="M1276" s="62">
        <f>'прил. 8'!N451</f>
        <v>0</v>
      </c>
      <c r="N1276" s="49">
        <f t="shared" si="265"/>
        <v>39.800000000000004</v>
      </c>
    </row>
    <row r="1277" spans="1:14" ht="49.5" x14ac:dyDescent="0.2">
      <c r="A1277" s="50" t="str">
        <f ca="1">IF(ISERROR(MATCH(B1277,Код_КЦСР,0)),"",INDIRECT(ADDRESS(MATCH(B1277,Код_КЦСР,0)+1,2,,,"КЦСР")))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1277" s="79" t="s">
        <v>394</v>
      </c>
      <c r="C1277" s="65"/>
      <c r="D1277" s="46"/>
      <c r="E1277" s="26"/>
      <c r="F1277" s="62">
        <f>F1278</f>
        <v>24129.8</v>
      </c>
      <c r="G1277" s="62">
        <f>G1278</f>
        <v>0</v>
      </c>
      <c r="H1277" s="49">
        <f t="shared" si="268"/>
        <v>24129.8</v>
      </c>
      <c r="I1277" s="62">
        <f>I1278</f>
        <v>0</v>
      </c>
      <c r="J1277" s="49">
        <f t="shared" si="259"/>
        <v>24129.8</v>
      </c>
      <c r="K1277" s="62">
        <f>K1278</f>
        <v>942.4</v>
      </c>
      <c r="L1277" s="49">
        <f t="shared" si="271"/>
        <v>25072.2</v>
      </c>
      <c r="M1277" s="62">
        <f>M1278</f>
        <v>0</v>
      </c>
      <c r="N1277" s="49">
        <f t="shared" si="265"/>
        <v>25072.2</v>
      </c>
    </row>
    <row r="1278" spans="1:14" x14ac:dyDescent="0.2">
      <c r="A1278" s="50" t="str">
        <f ca="1">IF(ISERROR(MATCH(C1278,Код_Раздел,0)),"",INDIRECT(ADDRESS(MATCH(C1278,Код_Раздел,0)+1,2,,,"Раздел")))</f>
        <v>Средства массовой информации</v>
      </c>
      <c r="B1278" s="79" t="s">
        <v>394</v>
      </c>
      <c r="C1278" s="65" t="s">
        <v>61</v>
      </c>
      <c r="D1278" s="46"/>
      <c r="E1278" s="26"/>
      <c r="F1278" s="62">
        <f t="shared" ref="F1278:M1280" si="277">F1279</f>
        <v>24129.8</v>
      </c>
      <c r="G1278" s="62">
        <f t="shared" si="277"/>
        <v>0</v>
      </c>
      <c r="H1278" s="49">
        <f t="shared" si="268"/>
        <v>24129.8</v>
      </c>
      <c r="I1278" s="62">
        <f t="shared" si="277"/>
        <v>0</v>
      </c>
      <c r="J1278" s="49">
        <f t="shared" si="259"/>
        <v>24129.8</v>
      </c>
      <c r="K1278" s="62">
        <f t="shared" si="277"/>
        <v>942.4</v>
      </c>
      <c r="L1278" s="49">
        <f t="shared" si="271"/>
        <v>25072.2</v>
      </c>
      <c r="M1278" s="62">
        <f t="shared" si="277"/>
        <v>0</v>
      </c>
      <c r="N1278" s="49">
        <f t="shared" si="265"/>
        <v>25072.2</v>
      </c>
    </row>
    <row r="1279" spans="1:14" x14ac:dyDescent="0.2">
      <c r="A1279" s="45" t="s">
        <v>62</v>
      </c>
      <c r="B1279" s="79" t="s">
        <v>394</v>
      </c>
      <c r="C1279" s="65" t="s">
        <v>61</v>
      </c>
      <c r="D1279" s="46" t="s">
        <v>71</v>
      </c>
      <c r="E1279" s="26"/>
      <c r="F1279" s="62">
        <f t="shared" si="277"/>
        <v>24129.8</v>
      </c>
      <c r="G1279" s="62">
        <f t="shared" si="277"/>
        <v>0</v>
      </c>
      <c r="H1279" s="49">
        <f t="shared" si="268"/>
        <v>24129.8</v>
      </c>
      <c r="I1279" s="62">
        <f t="shared" si="277"/>
        <v>0</v>
      </c>
      <c r="J1279" s="49">
        <f t="shared" ref="J1279:J1347" si="278">H1279+I1279</f>
        <v>24129.8</v>
      </c>
      <c r="K1279" s="62">
        <f t="shared" si="277"/>
        <v>942.4</v>
      </c>
      <c r="L1279" s="49">
        <f t="shared" si="271"/>
        <v>25072.2</v>
      </c>
      <c r="M1279" s="62">
        <f t="shared" si="277"/>
        <v>0</v>
      </c>
      <c r="N1279" s="49">
        <f t="shared" si="265"/>
        <v>25072.2</v>
      </c>
    </row>
    <row r="1280" spans="1:14" ht="33" x14ac:dyDescent="0.2">
      <c r="A1280" s="50" t="str">
        <f ca="1">IF(ISERROR(MATCH(E1280,Код_КВР,0)),"",INDIRECT(ADDRESS(MATCH(E1280,Код_КВР,0)+1,2,,,"КВР")))</f>
        <v>Закупка товаров, работ и услуг для обеспечения государственных (муниципальных) нужд</v>
      </c>
      <c r="B1280" s="79" t="s">
        <v>394</v>
      </c>
      <c r="C1280" s="65" t="s">
        <v>61</v>
      </c>
      <c r="D1280" s="46" t="s">
        <v>71</v>
      </c>
      <c r="E1280" s="26">
        <v>200</v>
      </c>
      <c r="F1280" s="62">
        <f t="shared" si="277"/>
        <v>24129.8</v>
      </c>
      <c r="G1280" s="62">
        <f t="shared" si="277"/>
        <v>0</v>
      </c>
      <c r="H1280" s="49">
        <f t="shared" si="268"/>
        <v>24129.8</v>
      </c>
      <c r="I1280" s="62">
        <f t="shared" si="277"/>
        <v>0</v>
      </c>
      <c r="J1280" s="49">
        <f t="shared" si="278"/>
        <v>24129.8</v>
      </c>
      <c r="K1280" s="62">
        <f t="shared" si="277"/>
        <v>942.4</v>
      </c>
      <c r="L1280" s="49">
        <f t="shared" si="271"/>
        <v>25072.2</v>
      </c>
      <c r="M1280" s="62">
        <f t="shared" si="277"/>
        <v>0</v>
      </c>
      <c r="N1280" s="49">
        <f t="shared" si="265"/>
        <v>25072.2</v>
      </c>
    </row>
    <row r="1281" spans="1:14" ht="33" x14ac:dyDescent="0.2">
      <c r="A1281" s="50" t="str">
        <f ca="1">IF(ISERROR(MATCH(E1281,Код_КВР,0)),"",INDIRECT(ADDRESS(MATCH(E1281,Код_КВР,0)+1,2,,,"КВР")))</f>
        <v>Иные закупки товаров, работ и услуг для обеспечения государственных (муниципальных) нужд</v>
      </c>
      <c r="B1281" s="79" t="s">
        <v>394</v>
      </c>
      <c r="C1281" s="65" t="s">
        <v>61</v>
      </c>
      <c r="D1281" s="46" t="s">
        <v>71</v>
      </c>
      <c r="E1281" s="26">
        <v>240</v>
      </c>
      <c r="F1281" s="62">
        <f>'прил. 8'!G454</f>
        <v>24129.8</v>
      </c>
      <c r="G1281" s="62">
        <f>'прил. 8'!H454</f>
        <v>0</v>
      </c>
      <c r="H1281" s="49">
        <f t="shared" si="268"/>
        <v>24129.8</v>
      </c>
      <c r="I1281" s="62">
        <f>'прил. 8'!J454</f>
        <v>0</v>
      </c>
      <c r="J1281" s="49">
        <f t="shared" si="278"/>
        <v>24129.8</v>
      </c>
      <c r="K1281" s="62">
        <f>'прил. 8'!L454</f>
        <v>942.4</v>
      </c>
      <c r="L1281" s="49">
        <f t="shared" si="271"/>
        <v>25072.2</v>
      </c>
      <c r="M1281" s="62">
        <f>'прил. 8'!N454</f>
        <v>0</v>
      </c>
      <c r="N1281" s="49">
        <f t="shared" si="265"/>
        <v>25072.2</v>
      </c>
    </row>
    <row r="1282" spans="1:14" x14ac:dyDescent="0.2">
      <c r="A1282" s="50" t="str">
        <f ca="1">IF(ISERROR(MATCH(B1282,Код_КЦСР,0)),"",INDIRECT(ADDRESS(MATCH(B1282,Код_КЦСР,0)+1,2,,,"КЦСР")))</f>
        <v>Совершенствование деятельности социально ориентированных НКО</v>
      </c>
      <c r="B1282" s="79" t="s">
        <v>687</v>
      </c>
      <c r="C1282" s="65"/>
      <c r="D1282" s="46"/>
      <c r="E1282" s="26"/>
      <c r="F1282" s="62"/>
      <c r="G1282" s="62"/>
      <c r="H1282" s="49"/>
      <c r="I1282" s="62"/>
      <c r="J1282" s="49"/>
      <c r="K1282" s="62">
        <f>K1283</f>
        <v>1000</v>
      </c>
      <c r="L1282" s="49">
        <f t="shared" si="271"/>
        <v>1000</v>
      </c>
      <c r="M1282" s="62">
        <f>M1283</f>
        <v>0</v>
      </c>
      <c r="N1282" s="49">
        <f t="shared" si="265"/>
        <v>1000</v>
      </c>
    </row>
    <row r="1283" spans="1:14" x14ac:dyDescent="0.2">
      <c r="A1283" s="50" t="str">
        <f ca="1">IF(ISERROR(MATCH(C1283,Код_Раздел,0)),"",INDIRECT(ADDRESS(MATCH(C1283,Код_Раздел,0)+1,2,,,"Раздел")))</f>
        <v>Общегосударственные вопросы</v>
      </c>
      <c r="B1283" s="79" t="s">
        <v>687</v>
      </c>
      <c r="C1283" s="65" t="s">
        <v>70</v>
      </c>
      <c r="D1283" s="46"/>
      <c r="E1283" s="26"/>
      <c r="F1283" s="62"/>
      <c r="G1283" s="62"/>
      <c r="H1283" s="49"/>
      <c r="I1283" s="62"/>
      <c r="J1283" s="49"/>
      <c r="K1283" s="62">
        <f>K1284</f>
        <v>1000</v>
      </c>
      <c r="L1283" s="49">
        <f t="shared" si="271"/>
        <v>1000</v>
      </c>
      <c r="M1283" s="62">
        <f>M1284</f>
        <v>0</v>
      </c>
      <c r="N1283" s="49">
        <f t="shared" si="265"/>
        <v>1000</v>
      </c>
    </row>
    <row r="1284" spans="1:14" x14ac:dyDescent="0.2">
      <c r="A1284" s="45" t="s">
        <v>91</v>
      </c>
      <c r="B1284" s="79" t="s">
        <v>687</v>
      </c>
      <c r="C1284" s="65" t="s">
        <v>70</v>
      </c>
      <c r="D1284" s="46" t="s">
        <v>55</v>
      </c>
      <c r="E1284" s="26"/>
      <c r="F1284" s="62"/>
      <c r="G1284" s="62"/>
      <c r="H1284" s="49"/>
      <c r="I1284" s="62"/>
      <c r="J1284" s="49"/>
      <c r="K1284" s="62">
        <f>K1285</f>
        <v>1000</v>
      </c>
      <c r="L1284" s="49">
        <f t="shared" si="271"/>
        <v>1000</v>
      </c>
      <c r="M1284" s="62">
        <f>M1285</f>
        <v>0</v>
      </c>
      <c r="N1284" s="49">
        <f t="shared" si="265"/>
        <v>1000</v>
      </c>
    </row>
    <row r="1285" spans="1:14" ht="33" x14ac:dyDescent="0.2">
      <c r="A1285" s="50" t="str">
        <f ca="1">IF(ISERROR(MATCH(E1285,Код_КВР,0)),"",INDIRECT(ADDRESS(MATCH(E1285,Код_КВР,0)+1,2,,,"КВР")))</f>
        <v>Предоставление субсидий бюджетным, автономным учреждениям и иным некоммерческим организациям</v>
      </c>
      <c r="B1285" s="79" t="s">
        <v>687</v>
      </c>
      <c r="C1285" s="65" t="s">
        <v>70</v>
      </c>
      <c r="D1285" s="46" t="s">
        <v>55</v>
      </c>
      <c r="E1285" s="26">
        <v>600</v>
      </c>
      <c r="F1285" s="62"/>
      <c r="G1285" s="62"/>
      <c r="H1285" s="49"/>
      <c r="I1285" s="62"/>
      <c r="J1285" s="49"/>
      <c r="K1285" s="62">
        <f>K1286</f>
        <v>1000</v>
      </c>
      <c r="L1285" s="49">
        <f t="shared" si="271"/>
        <v>1000</v>
      </c>
      <c r="M1285" s="62">
        <f>M1286</f>
        <v>0</v>
      </c>
      <c r="N1285" s="49">
        <f t="shared" si="265"/>
        <v>1000</v>
      </c>
    </row>
    <row r="1286" spans="1:14" ht="33" x14ac:dyDescent="0.2">
      <c r="A1286" s="50" t="str">
        <f ca="1">IF(ISERROR(MATCH(E1286,Код_КВР,0)),"",INDIRECT(ADDRESS(MATCH(E1286,Код_КВР,0)+1,2,,,"КВР")))</f>
        <v>Субсидии некоммерческим организациям (за исключением государственных (муниципальных) учреждений)</v>
      </c>
      <c r="B1286" s="79" t="s">
        <v>687</v>
      </c>
      <c r="C1286" s="65" t="s">
        <v>70</v>
      </c>
      <c r="D1286" s="46" t="s">
        <v>55</v>
      </c>
      <c r="E1286" s="26">
        <v>630</v>
      </c>
      <c r="F1286" s="62"/>
      <c r="G1286" s="62"/>
      <c r="H1286" s="49"/>
      <c r="I1286" s="62"/>
      <c r="J1286" s="49"/>
      <c r="K1286" s="62">
        <f>'прил. 8'!L112</f>
        <v>1000</v>
      </c>
      <c r="L1286" s="49">
        <f t="shared" si="271"/>
        <v>1000</v>
      </c>
      <c r="M1286" s="62">
        <f>'прил. 8'!N112</f>
        <v>0</v>
      </c>
      <c r="N1286" s="49">
        <f t="shared" si="265"/>
        <v>1000</v>
      </c>
    </row>
    <row r="1287" spans="1:14" ht="33" x14ac:dyDescent="0.2">
      <c r="A1287" s="50" t="str">
        <f ca="1">IF(ISERROR(MATCH(B1287,Код_КЦСР,0)),"",INDIRECT(ADDRESS(MATCH(B1287,Код_КЦСР,0)+1,2,,,"КЦСР")))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1287" s="79" t="s">
        <v>395</v>
      </c>
      <c r="C1287" s="65"/>
      <c r="D1287" s="46"/>
      <c r="E1287" s="26"/>
      <c r="F1287" s="62">
        <f>F1288+F1336</f>
        <v>10690.400000000001</v>
      </c>
      <c r="G1287" s="62">
        <f>G1288+G1336</f>
        <v>0</v>
      </c>
      <c r="H1287" s="49">
        <f t="shared" si="268"/>
        <v>10690.400000000001</v>
      </c>
      <c r="I1287" s="62">
        <f>I1288+I1336+I1324</f>
        <v>165.5</v>
      </c>
      <c r="J1287" s="49">
        <f t="shared" si="278"/>
        <v>10855.900000000001</v>
      </c>
      <c r="K1287" s="62">
        <f>K1288+K1336+K1324</f>
        <v>0</v>
      </c>
      <c r="L1287" s="49">
        <f t="shared" si="271"/>
        <v>10855.900000000001</v>
      </c>
      <c r="M1287" s="62">
        <f>M1288+M1336+M1324</f>
        <v>0</v>
      </c>
      <c r="N1287" s="49">
        <f t="shared" si="265"/>
        <v>10855.900000000001</v>
      </c>
    </row>
    <row r="1288" spans="1:14" x14ac:dyDescent="0.2">
      <c r="A1288" s="50" t="str">
        <f ca="1">IF(ISERROR(MATCH(B1288,Код_КЦСР,0)),"",INDIRECT(ADDRESS(MATCH(B1288,Код_КЦСР,0)+1,2,,,"КЦСР")))</f>
        <v>Профилактика преступлений и иных правонарушений в городе Череповце</v>
      </c>
      <c r="B1288" s="79" t="s">
        <v>397</v>
      </c>
      <c r="C1288" s="65"/>
      <c r="D1288" s="46"/>
      <c r="E1288" s="26"/>
      <c r="F1288" s="62">
        <f>F1294+F1289+F1319</f>
        <v>10689.400000000001</v>
      </c>
      <c r="G1288" s="62">
        <f>G1294+G1289+G1319</f>
        <v>0</v>
      </c>
      <c r="H1288" s="49">
        <f t="shared" si="268"/>
        <v>10689.400000000001</v>
      </c>
      <c r="I1288" s="62">
        <f>I1294+I1289+I1319</f>
        <v>0</v>
      </c>
      <c r="J1288" s="49">
        <f t="shared" si="278"/>
        <v>10689.400000000001</v>
      </c>
      <c r="K1288" s="62">
        <f>K1294+K1289+K1319</f>
        <v>0</v>
      </c>
      <c r="L1288" s="49">
        <f t="shared" si="271"/>
        <v>10689.400000000001</v>
      </c>
      <c r="M1288" s="62">
        <f>M1294+M1289+M1319</f>
        <v>0</v>
      </c>
      <c r="N1288" s="49">
        <f t="shared" si="265"/>
        <v>10689.400000000001</v>
      </c>
    </row>
    <row r="1289" spans="1:14" x14ac:dyDescent="0.2">
      <c r="A1289" s="50" t="s">
        <v>519</v>
      </c>
      <c r="B1289" s="65" t="s">
        <v>516</v>
      </c>
      <c r="C1289" s="65"/>
      <c r="D1289" s="46"/>
      <c r="E1289" s="26"/>
      <c r="F1289" s="62">
        <f t="shared" ref="F1289:M1292" si="279">F1290</f>
        <v>2</v>
      </c>
      <c r="G1289" s="62">
        <f t="shared" si="279"/>
        <v>0</v>
      </c>
      <c r="H1289" s="49">
        <f t="shared" si="268"/>
        <v>2</v>
      </c>
      <c r="I1289" s="62">
        <f t="shared" si="279"/>
        <v>0</v>
      </c>
      <c r="J1289" s="49">
        <f t="shared" si="278"/>
        <v>2</v>
      </c>
      <c r="K1289" s="62">
        <f t="shared" si="279"/>
        <v>0</v>
      </c>
      <c r="L1289" s="49">
        <f t="shared" si="271"/>
        <v>2</v>
      </c>
      <c r="M1289" s="62">
        <f t="shared" si="279"/>
        <v>0</v>
      </c>
      <c r="N1289" s="49">
        <f t="shared" si="265"/>
        <v>2</v>
      </c>
    </row>
    <row r="1290" spans="1:14" x14ac:dyDescent="0.2">
      <c r="A1290" s="50" t="str">
        <f ca="1">IF(ISERROR(MATCH(C1290,Код_Раздел,0)),"",INDIRECT(ADDRESS(MATCH(C1290,Код_Раздел,0)+1,2,,,"Раздел")))</f>
        <v>Общегосударственные вопросы</v>
      </c>
      <c r="B1290" s="65" t="s">
        <v>516</v>
      </c>
      <c r="C1290" s="65" t="s">
        <v>70</v>
      </c>
      <c r="D1290" s="46"/>
      <c r="E1290" s="26"/>
      <c r="F1290" s="62">
        <f t="shared" si="279"/>
        <v>2</v>
      </c>
      <c r="G1290" s="62">
        <f t="shared" si="279"/>
        <v>0</v>
      </c>
      <c r="H1290" s="49">
        <f t="shared" si="268"/>
        <v>2</v>
      </c>
      <c r="I1290" s="62">
        <f t="shared" si="279"/>
        <v>0</v>
      </c>
      <c r="J1290" s="49">
        <f t="shared" si="278"/>
        <v>2</v>
      </c>
      <c r="K1290" s="62">
        <f t="shared" si="279"/>
        <v>0</v>
      </c>
      <c r="L1290" s="49">
        <f t="shared" si="271"/>
        <v>2</v>
      </c>
      <c r="M1290" s="62">
        <f t="shared" si="279"/>
        <v>0</v>
      </c>
      <c r="N1290" s="49">
        <f t="shared" si="265"/>
        <v>2</v>
      </c>
    </row>
    <row r="1291" spans="1:14" x14ac:dyDescent="0.2">
      <c r="A1291" s="45" t="s">
        <v>91</v>
      </c>
      <c r="B1291" s="65" t="s">
        <v>516</v>
      </c>
      <c r="C1291" s="65" t="s">
        <v>70</v>
      </c>
      <c r="D1291" s="46" t="s">
        <v>55</v>
      </c>
      <c r="E1291" s="26"/>
      <c r="F1291" s="62">
        <f t="shared" si="279"/>
        <v>2</v>
      </c>
      <c r="G1291" s="62">
        <f t="shared" si="279"/>
        <v>0</v>
      </c>
      <c r="H1291" s="49">
        <f t="shared" si="268"/>
        <v>2</v>
      </c>
      <c r="I1291" s="62">
        <f t="shared" si="279"/>
        <v>0</v>
      </c>
      <c r="J1291" s="49">
        <f t="shared" si="278"/>
        <v>2</v>
      </c>
      <c r="K1291" s="62">
        <f t="shared" si="279"/>
        <v>0</v>
      </c>
      <c r="L1291" s="49">
        <f t="shared" si="271"/>
        <v>2</v>
      </c>
      <c r="M1291" s="62">
        <f t="shared" si="279"/>
        <v>0</v>
      </c>
      <c r="N1291" s="49">
        <f t="shared" si="265"/>
        <v>2</v>
      </c>
    </row>
    <row r="1292" spans="1:14" ht="33" x14ac:dyDescent="0.2">
      <c r="A1292" s="50" t="str">
        <f ca="1">IF(ISERROR(MATCH(E1292,Код_КВР,0)),"",INDIRECT(ADDRESS(MATCH(E1292,Код_КВР,0)+1,2,,,"КВР")))</f>
        <v>Закупка товаров, работ и услуг для обеспечения государственных (муниципальных) нужд</v>
      </c>
      <c r="B1292" s="65" t="s">
        <v>516</v>
      </c>
      <c r="C1292" s="65" t="s">
        <v>70</v>
      </c>
      <c r="D1292" s="46" t="s">
        <v>55</v>
      </c>
      <c r="E1292" s="26">
        <v>200</v>
      </c>
      <c r="F1292" s="62">
        <f t="shared" si="279"/>
        <v>2</v>
      </c>
      <c r="G1292" s="62">
        <f t="shared" si="279"/>
        <v>0</v>
      </c>
      <c r="H1292" s="49">
        <f t="shared" si="268"/>
        <v>2</v>
      </c>
      <c r="I1292" s="62">
        <f t="shared" si="279"/>
        <v>0</v>
      </c>
      <c r="J1292" s="49">
        <f t="shared" si="278"/>
        <v>2</v>
      </c>
      <c r="K1292" s="62">
        <f t="shared" si="279"/>
        <v>0</v>
      </c>
      <c r="L1292" s="49">
        <f t="shared" si="271"/>
        <v>2</v>
      </c>
      <c r="M1292" s="62">
        <f t="shared" si="279"/>
        <v>0</v>
      </c>
      <c r="N1292" s="49">
        <f t="shared" si="265"/>
        <v>2</v>
      </c>
    </row>
    <row r="1293" spans="1:14" ht="33" x14ac:dyDescent="0.2">
      <c r="A1293" s="50" t="str">
        <f ca="1">IF(ISERROR(MATCH(E1293,Код_КВР,0)),"",INDIRECT(ADDRESS(MATCH(E1293,Код_КВР,0)+1,2,,,"КВР")))</f>
        <v>Иные закупки товаров, работ и услуг для обеспечения государственных (муниципальных) нужд</v>
      </c>
      <c r="B1293" s="65" t="s">
        <v>516</v>
      </c>
      <c r="C1293" s="65" t="s">
        <v>70</v>
      </c>
      <c r="D1293" s="46" t="s">
        <v>55</v>
      </c>
      <c r="E1293" s="26">
        <v>240</v>
      </c>
      <c r="F1293" s="62">
        <f>'прил. 8'!G117</f>
        <v>2</v>
      </c>
      <c r="G1293" s="62">
        <f>'прил. 8'!H117</f>
        <v>0</v>
      </c>
      <c r="H1293" s="49">
        <f t="shared" si="268"/>
        <v>2</v>
      </c>
      <c r="I1293" s="62">
        <f>'прил. 8'!J117</f>
        <v>0</v>
      </c>
      <c r="J1293" s="49">
        <f t="shared" si="278"/>
        <v>2</v>
      </c>
      <c r="K1293" s="62">
        <f>'прил. 8'!L117</f>
        <v>0</v>
      </c>
      <c r="L1293" s="49">
        <f t="shared" si="271"/>
        <v>2</v>
      </c>
      <c r="M1293" s="62">
        <f>'прил. 8'!N117</f>
        <v>0</v>
      </c>
      <c r="N1293" s="49">
        <f t="shared" si="265"/>
        <v>2</v>
      </c>
    </row>
    <row r="1294" spans="1:14" x14ac:dyDescent="0.2">
      <c r="A1294" s="50" t="str">
        <f ca="1">IF(ISERROR(MATCH(B1294,Код_КЦСР,0)),"",INDIRECT(ADDRESS(MATCH(B1294,Код_КЦСР,0)+1,2,,,"КЦСР")))</f>
        <v>Привлечение общественности к охране общественного порядка</v>
      </c>
      <c r="B1294" s="79" t="s">
        <v>398</v>
      </c>
      <c r="C1294" s="65"/>
      <c r="D1294" s="46"/>
      <c r="E1294" s="26"/>
      <c r="F1294" s="62">
        <f>F1295+F1299+F1315+F1307+F1311</f>
        <v>10685.400000000001</v>
      </c>
      <c r="G1294" s="62">
        <f>G1295+G1299+G1315+G1307+G1311</f>
        <v>0</v>
      </c>
      <c r="H1294" s="49">
        <f t="shared" si="268"/>
        <v>10685.400000000001</v>
      </c>
      <c r="I1294" s="62">
        <f>I1295+I1299+I1315+I1307+I1311</f>
        <v>0</v>
      </c>
      <c r="J1294" s="49">
        <f t="shared" si="278"/>
        <v>10685.400000000001</v>
      </c>
      <c r="K1294" s="62">
        <f>K1295+K1299+K1315+K1307+K1311</f>
        <v>0</v>
      </c>
      <c r="L1294" s="49">
        <f t="shared" si="271"/>
        <v>10685.400000000001</v>
      </c>
      <c r="M1294" s="62">
        <f>M1295+M1299+M1315+M1307+M1311</f>
        <v>0</v>
      </c>
      <c r="N1294" s="49">
        <f t="shared" si="265"/>
        <v>10685.400000000001</v>
      </c>
    </row>
    <row r="1295" spans="1:14" x14ac:dyDescent="0.2">
      <c r="A1295" s="50" t="str">
        <f ca="1">IF(ISERROR(MATCH(C1295,Код_Раздел,0)),"",INDIRECT(ADDRESS(MATCH(C1295,Код_Раздел,0)+1,2,,,"Раздел")))</f>
        <v>Общегосударственные вопросы</v>
      </c>
      <c r="B1295" s="79" t="s">
        <v>398</v>
      </c>
      <c r="C1295" s="65" t="s">
        <v>70</v>
      </c>
      <c r="D1295" s="46"/>
      <c r="E1295" s="26"/>
      <c r="F1295" s="62">
        <f t="shared" ref="F1295:M1297" si="280">F1296</f>
        <v>20</v>
      </c>
      <c r="G1295" s="62">
        <f t="shared" si="280"/>
        <v>0</v>
      </c>
      <c r="H1295" s="49">
        <f t="shared" si="268"/>
        <v>20</v>
      </c>
      <c r="I1295" s="62">
        <f t="shared" si="280"/>
        <v>0</v>
      </c>
      <c r="J1295" s="49">
        <f t="shared" si="278"/>
        <v>20</v>
      </c>
      <c r="K1295" s="62">
        <f t="shared" si="280"/>
        <v>0</v>
      </c>
      <c r="L1295" s="49">
        <f t="shared" si="271"/>
        <v>20</v>
      </c>
      <c r="M1295" s="62">
        <f t="shared" si="280"/>
        <v>0</v>
      </c>
      <c r="N1295" s="49">
        <f t="shared" si="265"/>
        <v>20</v>
      </c>
    </row>
    <row r="1296" spans="1:14" x14ac:dyDescent="0.2">
      <c r="A1296" s="45" t="s">
        <v>91</v>
      </c>
      <c r="B1296" s="79" t="s">
        <v>398</v>
      </c>
      <c r="C1296" s="65" t="s">
        <v>70</v>
      </c>
      <c r="D1296" s="46" t="s">
        <v>55</v>
      </c>
      <c r="E1296" s="26"/>
      <c r="F1296" s="62">
        <f t="shared" si="280"/>
        <v>20</v>
      </c>
      <c r="G1296" s="62">
        <f t="shared" si="280"/>
        <v>0</v>
      </c>
      <c r="H1296" s="49">
        <f t="shared" si="268"/>
        <v>20</v>
      </c>
      <c r="I1296" s="62">
        <f t="shared" si="280"/>
        <v>0</v>
      </c>
      <c r="J1296" s="49">
        <f t="shared" si="278"/>
        <v>20</v>
      </c>
      <c r="K1296" s="62">
        <f t="shared" si="280"/>
        <v>0</v>
      </c>
      <c r="L1296" s="49">
        <f t="shared" si="271"/>
        <v>20</v>
      </c>
      <c r="M1296" s="62">
        <f t="shared" si="280"/>
        <v>0</v>
      </c>
      <c r="N1296" s="49">
        <f t="shared" si="265"/>
        <v>20</v>
      </c>
    </row>
    <row r="1297" spans="1:14" ht="33" x14ac:dyDescent="0.2">
      <c r="A1297" s="50" t="str">
        <f ca="1">IF(ISERROR(MATCH(E1297,Код_КВР,0)),"",INDIRECT(ADDRESS(MATCH(E1297,Код_КВР,0)+1,2,,,"КВР")))</f>
        <v>Закупка товаров, работ и услуг для обеспечения государственных (муниципальных) нужд</v>
      </c>
      <c r="B1297" s="79" t="s">
        <v>398</v>
      </c>
      <c r="C1297" s="65" t="s">
        <v>70</v>
      </c>
      <c r="D1297" s="46" t="s">
        <v>55</v>
      </c>
      <c r="E1297" s="26">
        <v>200</v>
      </c>
      <c r="F1297" s="62">
        <f t="shared" si="280"/>
        <v>20</v>
      </c>
      <c r="G1297" s="62">
        <f t="shared" si="280"/>
        <v>0</v>
      </c>
      <c r="H1297" s="49">
        <f t="shared" si="268"/>
        <v>20</v>
      </c>
      <c r="I1297" s="62">
        <f t="shared" si="280"/>
        <v>0</v>
      </c>
      <c r="J1297" s="49">
        <f t="shared" si="278"/>
        <v>20</v>
      </c>
      <c r="K1297" s="62">
        <f t="shared" si="280"/>
        <v>0</v>
      </c>
      <c r="L1297" s="49">
        <f t="shared" si="271"/>
        <v>20</v>
      </c>
      <c r="M1297" s="62">
        <f t="shared" si="280"/>
        <v>0</v>
      </c>
      <c r="N1297" s="49">
        <f t="shared" si="265"/>
        <v>20</v>
      </c>
    </row>
    <row r="1298" spans="1:14" ht="33" x14ac:dyDescent="0.2">
      <c r="A1298" s="50" t="str">
        <f ca="1">IF(ISERROR(MATCH(E1298,Код_КВР,0)),"",INDIRECT(ADDRESS(MATCH(E1298,Код_КВР,0)+1,2,,,"КВР")))</f>
        <v>Иные закупки товаров, работ и услуг для обеспечения государственных (муниципальных) нужд</v>
      </c>
      <c r="B1298" s="79" t="s">
        <v>398</v>
      </c>
      <c r="C1298" s="65" t="s">
        <v>70</v>
      </c>
      <c r="D1298" s="46" t="s">
        <v>55</v>
      </c>
      <c r="E1298" s="26">
        <v>240</v>
      </c>
      <c r="F1298" s="62">
        <f>'прил. 8'!G120</f>
        <v>20</v>
      </c>
      <c r="G1298" s="62">
        <f>'прил. 8'!H120</f>
        <v>0</v>
      </c>
      <c r="H1298" s="49">
        <f t="shared" si="268"/>
        <v>20</v>
      </c>
      <c r="I1298" s="62">
        <f>'прил. 8'!J120</f>
        <v>0</v>
      </c>
      <c r="J1298" s="49">
        <f t="shared" si="278"/>
        <v>20</v>
      </c>
      <c r="K1298" s="62">
        <f>'прил. 8'!L120</f>
        <v>0</v>
      </c>
      <c r="L1298" s="49">
        <f t="shared" si="271"/>
        <v>20</v>
      </c>
      <c r="M1298" s="62">
        <f>'прил. 8'!N120</f>
        <v>0</v>
      </c>
      <c r="N1298" s="49">
        <f t="shared" ref="N1298:N1361" si="281">L1298+M1298</f>
        <v>20</v>
      </c>
    </row>
    <row r="1299" spans="1:14" x14ac:dyDescent="0.2">
      <c r="A1299" s="50" t="str">
        <f ca="1">IF(ISERROR(MATCH(C1299,Код_Раздел,0)),"",INDIRECT(ADDRESS(MATCH(C1299,Код_Раздел,0)+1,2,,,"Раздел")))</f>
        <v>Национальная безопасность и правоохранительная  деятельность</v>
      </c>
      <c r="B1299" s="79" t="s">
        <v>398</v>
      </c>
      <c r="C1299" s="65" t="s">
        <v>72</v>
      </c>
      <c r="D1299" s="46"/>
      <c r="E1299" s="26"/>
      <c r="F1299" s="62">
        <f>F1300</f>
        <v>10155.6</v>
      </c>
      <c r="G1299" s="62">
        <f>G1300</f>
        <v>0</v>
      </c>
      <c r="H1299" s="49">
        <f t="shared" si="268"/>
        <v>10155.6</v>
      </c>
      <c r="I1299" s="62">
        <f>I1300</f>
        <v>0</v>
      </c>
      <c r="J1299" s="49">
        <f t="shared" si="278"/>
        <v>10155.6</v>
      </c>
      <c r="K1299" s="62">
        <f>K1300</f>
        <v>0</v>
      </c>
      <c r="L1299" s="49">
        <f t="shared" si="271"/>
        <v>10155.6</v>
      </c>
      <c r="M1299" s="62">
        <f>M1300</f>
        <v>0</v>
      </c>
      <c r="N1299" s="49">
        <f t="shared" si="281"/>
        <v>10155.6</v>
      </c>
    </row>
    <row r="1300" spans="1:14" ht="33" x14ac:dyDescent="0.2">
      <c r="A1300" s="45" t="s">
        <v>111</v>
      </c>
      <c r="B1300" s="79" t="s">
        <v>398</v>
      </c>
      <c r="C1300" s="65" t="s">
        <v>72</v>
      </c>
      <c r="D1300" s="46" t="s">
        <v>76</v>
      </c>
      <c r="E1300" s="26"/>
      <c r="F1300" s="62">
        <f>F1301+F1303+F1305</f>
        <v>10155.6</v>
      </c>
      <c r="G1300" s="62">
        <f>G1301+G1303+G1305</f>
        <v>0</v>
      </c>
      <c r="H1300" s="49">
        <f t="shared" si="268"/>
        <v>10155.6</v>
      </c>
      <c r="I1300" s="62">
        <f>I1301+I1303+I1305</f>
        <v>0</v>
      </c>
      <c r="J1300" s="49">
        <f t="shared" si="278"/>
        <v>10155.6</v>
      </c>
      <c r="K1300" s="62">
        <f>K1301+K1303+K1305</f>
        <v>0</v>
      </c>
      <c r="L1300" s="49">
        <f t="shared" si="271"/>
        <v>10155.6</v>
      </c>
      <c r="M1300" s="62">
        <f>M1301+M1303+M1305</f>
        <v>0</v>
      </c>
      <c r="N1300" s="49">
        <f t="shared" si="281"/>
        <v>10155.6</v>
      </c>
    </row>
    <row r="1301" spans="1:14" ht="49.5" x14ac:dyDescent="0.2">
      <c r="A1301" s="50" t="str">
        <f t="shared" ref="A1301:A1306" ca="1" si="282">IF(ISERROR(MATCH(E1301,Код_КВР,0)),"",INDIRECT(ADDRESS(MATCH(E1301,Код_КВР,0)+1,2,,,"КВР")))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01" s="79" t="s">
        <v>398</v>
      </c>
      <c r="C1301" s="65" t="s">
        <v>72</v>
      </c>
      <c r="D1301" s="46" t="s">
        <v>76</v>
      </c>
      <c r="E1301" s="26">
        <v>100</v>
      </c>
      <c r="F1301" s="62">
        <f>F1302</f>
        <v>7767</v>
      </c>
      <c r="G1301" s="62">
        <f>G1302</f>
        <v>0</v>
      </c>
      <c r="H1301" s="49">
        <f t="shared" si="268"/>
        <v>7767</v>
      </c>
      <c r="I1301" s="62">
        <f>I1302</f>
        <v>0</v>
      </c>
      <c r="J1301" s="49">
        <f t="shared" si="278"/>
        <v>7767</v>
      </c>
      <c r="K1301" s="62">
        <f>K1302</f>
        <v>0</v>
      </c>
      <c r="L1301" s="49">
        <f t="shared" si="271"/>
        <v>7767</v>
      </c>
      <c r="M1301" s="62">
        <f>M1302</f>
        <v>0</v>
      </c>
      <c r="N1301" s="49">
        <f t="shared" si="281"/>
        <v>7767</v>
      </c>
    </row>
    <row r="1302" spans="1:14" x14ac:dyDescent="0.2">
      <c r="A1302" s="50" t="str">
        <f t="shared" ca="1" si="282"/>
        <v>Расходы на выплаты персоналу казенных учреждений</v>
      </c>
      <c r="B1302" s="79" t="s">
        <v>398</v>
      </c>
      <c r="C1302" s="65" t="s">
        <v>72</v>
      </c>
      <c r="D1302" s="46" t="s">
        <v>76</v>
      </c>
      <c r="E1302" s="26">
        <v>110</v>
      </c>
      <c r="F1302" s="62">
        <f>'прил. 8'!G181</f>
        <v>7767</v>
      </c>
      <c r="G1302" s="62">
        <f>'прил. 8'!H181</f>
        <v>0</v>
      </c>
      <c r="H1302" s="49">
        <f t="shared" si="268"/>
        <v>7767</v>
      </c>
      <c r="I1302" s="62">
        <f>'прил. 8'!J181</f>
        <v>0</v>
      </c>
      <c r="J1302" s="49">
        <f t="shared" si="278"/>
        <v>7767</v>
      </c>
      <c r="K1302" s="62">
        <f>'прил. 8'!L181</f>
        <v>0</v>
      </c>
      <c r="L1302" s="49">
        <f t="shared" si="271"/>
        <v>7767</v>
      </c>
      <c r="M1302" s="62">
        <f>'прил. 8'!N181</f>
        <v>0</v>
      </c>
      <c r="N1302" s="49">
        <f t="shared" si="281"/>
        <v>7767</v>
      </c>
    </row>
    <row r="1303" spans="1:14" ht="33" x14ac:dyDescent="0.2">
      <c r="A1303" s="50" t="str">
        <f t="shared" ca="1" si="282"/>
        <v>Закупка товаров, работ и услуг для обеспечения государственных (муниципальных) нужд</v>
      </c>
      <c r="B1303" s="79" t="s">
        <v>398</v>
      </c>
      <c r="C1303" s="65" t="s">
        <v>72</v>
      </c>
      <c r="D1303" s="46" t="s">
        <v>76</v>
      </c>
      <c r="E1303" s="26">
        <v>200</v>
      </c>
      <c r="F1303" s="62">
        <f>F1304</f>
        <v>2172.4</v>
      </c>
      <c r="G1303" s="62">
        <f>G1304</f>
        <v>0</v>
      </c>
      <c r="H1303" s="49">
        <f t="shared" si="268"/>
        <v>2172.4</v>
      </c>
      <c r="I1303" s="62">
        <f>I1304</f>
        <v>0</v>
      </c>
      <c r="J1303" s="49">
        <f t="shared" si="278"/>
        <v>2172.4</v>
      </c>
      <c r="K1303" s="62">
        <f>K1304</f>
        <v>0</v>
      </c>
      <c r="L1303" s="49">
        <f t="shared" si="271"/>
        <v>2172.4</v>
      </c>
      <c r="M1303" s="62">
        <f>M1304</f>
        <v>0</v>
      </c>
      <c r="N1303" s="49">
        <f t="shared" si="281"/>
        <v>2172.4</v>
      </c>
    </row>
    <row r="1304" spans="1:14" ht="33" x14ac:dyDescent="0.2">
      <c r="A1304" s="50" t="str">
        <f t="shared" ca="1" si="282"/>
        <v>Иные закупки товаров, работ и услуг для обеспечения государственных (муниципальных) нужд</v>
      </c>
      <c r="B1304" s="79" t="s">
        <v>398</v>
      </c>
      <c r="C1304" s="65" t="s">
        <v>72</v>
      </c>
      <c r="D1304" s="46" t="s">
        <v>76</v>
      </c>
      <c r="E1304" s="26">
        <v>240</v>
      </c>
      <c r="F1304" s="62">
        <f>'прил. 8'!G183</f>
        <v>2172.4</v>
      </c>
      <c r="G1304" s="62">
        <f>'прил. 8'!H183</f>
        <v>0</v>
      </c>
      <c r="H1304" s="49">
        <f t="shared" si="268"/>
        <v>2172.4</v>
      </c>
      <c r="I1304" s="62">
        <f>'прил. 8'!J183</f>
        <v>0</v>
      </c>
      <c r="J1304" s="49">
        <f t="shared" si="278"/>
        <v>2172.4</v>
      </c>
      <c r="K1304" s="62">
        <f>'прил. 8'!L183</f>
        <v>0</v>
      </c>
      <c r="L1304" s="49">
        <f t="shared" si="271"/>
        <v>2172.4</v>
      </c>
      <c r="M1304" s="62">
        <f>'прил. 8'!N183</f>
        <v>0</v>
      </c>
      <c r="N1304" s="49">
        <f t="shared" si="281"/>
        <v>2172.4</v>
      </c>
    </row>
    <row r="1305" spans="1:14" x14ac:dyDescent="0.2">
      <c r="A1305" s="50" t="str">
        <f t="shared" ca="1" si="282"/>
        <v>Иные бюджетные ассигнования</v>
      </c>
      <c r="B1305" s="79" t="s">
        <v>398</v>
      </c>
      <c r="C1305" s="65" t="s">
        <v>72</v>
      </c>
      <c r="D1305" s="46" t="s">
        <v>76</v>
      </c>
      <c r="E1305" s="26">
        <v>800</v>
      </c>
      <c r="F1305" s="62">
        <f>F1306</f>
        <v>216.2</v>
      </c>
      <c r="G1305" s="62">
        <f>G1306</f>
        <v>0</v>
      </c>
      <c r="H1305" s="49">
        <f t="shared" si="268"/>
        <v>216.2</v>
      </c>
      <c r="I1305" s="62">
        <f>I1306</f>
        <v>0</v>
      </c>
      <c r="J1305" s="49">
        <f t="shared" si="278"/>
        <v>216.2</v>
      </c>
      <c r="K1305" s="62">
        <f>K1306</f>
        <v>0</v>
      </c>
      <c r="L1305" s="49">
        <f t="shared" si="271"/>
        <v>216.2</v>
      </c>
      <c r="M1305" s="62">
        <f>M1306</f>
        <v>0</v>
      </c>
      <c r="N1305" s="49">
        <f t="shared" si="281"/>
        <v>216.2</v>
      </c>
    </row>
    <row r="1306" spans="1:14" x14ac:dyDescent="0.2">
      <c r="A1306" s="50" t="str">
        <f t="shared" ca="1" si="282"/>
        <v>Уплата налогов, сборов и иных платежей</v>
      </c>
      <c r="B1306" s="79" t="s">
        <v>398</v>
      </c>
      <c r="C1306" s="65" t="s">
        <v>72</v>
      </c>
      <c r="D1306" s="46" t="s">
        <v>76</v>
      </c>
      <c r="E1306" s="26">
        <v>850</v>
      </c>
      <c r="F1306" s="62">
        <f>'прил. 8'!G185</f>
        <v>216.2</v>
      </c>
      <c r="G1306" s="62">
        <f>'прил. 8'!H185</f>
        <v>0</v>
      </c>
      <c r="H1306" s="49">
        <f t="shared" si="268"/>
        <v>216.2</v>
      </c>
      <c r="I1306" s="62">
        <f>'прил. 8'!J185</f>
        <v>0</v>
      </c>
      <c r="J1306" s="49">
        <f t="shared" si="278"/>
        <v>216.2</v>
      </c>
      <c r="K1306" s="62">
        <f>'прил. 8'!L185</f>
        <v>0</v>
      </c>
      <c r="L1306" s="49">
        <f t="shared" si="271"/>
        <v>216.2</v>
      </c>
      <c r="M1306" s="62">
        <f>'прил. 8'!N185</f>
        <v>0</v>
      </c>
      <c r="N1306" s="49">
        <f t="shared" si="281"/>
        <v>216.2</v>
      </c>
    </row>
    <row r="1307" spans="1:14" x14ac:dyDescent="0.2">
      <c r="A1307" s="50" t="str">
        <f ca="1">IF(ISERROR(MATCH(C1307,Код_Раздел,0)),"",INDIRECT(ADDRESS(MATCH(C1307,Код_Раздел,0)+1,2,,,"Раздел")))</f>
        <v>Образование</v>
      </c>
      <c r="B1307" s="79" t="s">
        <v>398</v>
      </c>
      <c r="C1307" s="65" t="s">
        <v>60</v>
      </c>
      <c r="D1307" s="46"/>
      <c r="E1307" s="26"/>
      <c r="F1307" s="62">
        <f t="shared" ref="F1307:M1309" si="283">F1308</f>
        <v>1.6</v>
      </c>
      <c r="G1307" s="62">
        <f t="shared" si="283"/>
        <v>0</v>
      </c>
      <c r="H1307" s="49">
        <f t="shared" si="268"/>
        <v>1.6</v>
      </c>
      <c r="I1307" s="62">
        <f t="shared" si="283"/>
        <v>0</v>
      </c>
      <c r="J1307" s="49">
        <f t="shared" si="278"/>
        <v>1.6</v>
      </c>
      <c r="K1307" s="62">
        <f t="shared" si="283"/>
        <v>0</v>
      </c>
      <c r="L1307" s="49">
        <f t="shared" si="271"/>
        <v>1.6</v>
      </c>
      <c r="M1307" s="62">
        <f t="shared" si="283"/>
        <v>0</v>
      </c>
      <c r="N1307" s="49">
        <f t="shared" si="281"/>
        <v>1.6</v>
      </c>
    </row>
    <row r="1308" spans="1:14" x14ac:dyDescent="0.2">
      <c r="A1308" s="45" t="s">
        <v>532</v>
      </c>
      <c r="B1308" s="79" t="s">
        <v>398</v>
      </c>
      <c r="C1308" s="65" t="s">
        <v>60</v>
      </c>
      <c r="D1308" s="46" t="s">
        <v>78</v>
      </c>
      <c r="E1308" s="26"/>
      <c r="F1308" s="62">
        <f t="shared" si="283"/>
        <v>1.6</v>
      </c>
      <c r="G1308" s="62">
        <f t="shared" si="283"/>
        <v>0</v>
      </c>
      <c r="H1308" s="49">
        <f t="shared" si="268"/>
        <v>1.6</v>
      </c>
      <c r="I1308" s="62">
        <f t="shared" si="283"/>
        <v>0</v>
      </c>
      <c r="J1308" s="49">
        <f t="shared" si="278"/>
        <v>1.6</v>
      </c>
      <c r="K1308" s="62">
        <f t="shared" si="283"/>
        <v>0</v>
      </c>
      <c r="L1308" s="49">
        <f t="shared" si="271"/>
        <v>1.6</v>
      </c>
      <c r="M1308" s="62">
        <f t="shared" si="283"/>
        <v>0</v>
      </c>
      <c r="N1308" s="49">
        <f t="shared" si="281"/>
        <v>1.6</v>
      </c>
    </row>
    <row r="1309" spans="1:14" ht="33" x14ac:dyDescent="0.2">
      <c r="A1309" s="50" t="str">
        <f t="shared" ref="A1309:A1310" ca="1" si="284">IF(ISERROR(MATCH(E1309,Код_КВР,0)),"",INDIRECT(ADDRESS(MATCH(E1309,Код_КВР,0)+1,2,,,"КВР")))</f>
        <v>Закупка товаров, работ и услуг для обеспечения государственных (муниципальных) нужд</v>
      </c>
      <c r="B1309" s="79" t="s">
        <v>398</v>
      </c>
      <c r="C1309" s="65" t="s">
        <v>60</v>
      </c>
      <c r="D1309" s="46" t="s">
        <v>78</v>
      </c>
      <c r="E1309" s="26">
        <v>200</v>
      </c>
      <c r="F1309" s="62">
        <f t="shared" si="283"/>
        <v>1.6</v>
      </c>
      <c r="G1309" s="62">
        <f t="shared" si="283"/>
        <v>0</v>
      </c>
      <c r="H1309" s="49">
        <f t="shared" si="268"/>
        <v>1.6</v>
      </c>
      <c r="I1309" s="62">
        <f t="shared" si="283"/>
        <v>0</v>
      </c>
      <c r="J1309" s="49">
        <f t="shared" si="278"/>
        <v>1.6</v>
      </c>
      <c r="K1309" s="62">
        <f t="shared" si="283"/>
        <v>0</v>
      </c>
      <c r="L1309" s="49">
        <f t="shared" si="271"/>
        <v>1.6</v>
      </c>
      <c r="M1309" s="62">
        <f t="shared" si="283"/>
        <v>0</v>
      </c>
      <c r="N1309" s="49">
        <f t="shared" si="281"/>
        <v>1.6</v>
      </c>
    </row>
    <row r="1310" spans="1:14" ht="33" x14ac:dyDescent="0.2">
      <c r="A1310" s="50" t="str">
        <f t="shared" ca="1" si="284"/>
        <v>Иные закупки товаров, работ и услуг для обеспечения государственных (муниципальных) нужд</v>
      </c>
      <c r="B1310" s="79" t="s">
        <v>398</v>
      </c>
      <c r="C1310" s="65" t="s">
        <v>60</v>
      </c>
      <c r="D1310" s="46" t="s">
        <v>78</v>
      </c>
      <c r="E1310" s="26">
        <v>240</v>
      </c>
      <c r="F1310" s="62">
        <f>'прил. 8'!G333</f>
        <v>1.6</v>
      </c>
      <c r="G1310" s="62">
        <f>'прил. 8'!H333</f>
        <v>0</v>
      </c>
      <c r="H1310" s="49">
        <f t="shared" si="268"/>
        <v>1.6</v>
      </c>
      <c r="I1310" s="62">
        <f>'прил. 8'!J333</f>
        <v>0</v>
      </c>
      <c r="J1310" s="49">
        <f t="shared" si="278"/>
        <v>1.6</v>
      </c>
      <c r="K1310" s="62">
        <f>'прил. 8'!L333</f>
        <v>0</v>
      </c>
      <c r="L1310" s="49">
        <f t="shared" si="271"/>
        <v>1.6</v>
      </c>
      <c r="M1310" s="62">
        <f>'прил. 8'!N333</f>
        <v>0</v>
      </c>
      <c r="N1310" s="49">
        <f t="shared" si="281"/>
        <v>1.6</v>
      </c>
    </row>
    <row r="1311" spans="1:14" x14ac:dyDescent="0.2">
      <c r="A1311" s="50" t="str">
        <f ca="1">IF(ISERROR(MATCH(C1311,Код_Раздел,0)),"",INDIRECT(ADDRESS(MATCH(C1311,Код_Раздел,0)+1,2,,,"Раздел")))</f>
        <v>Культура, кинематография</v>
      </c>
      <c r="B1311" s="79" t="s">
        <v>398</v>
      </c>
      <c r="C1311" s="65" t="s">
        <v>79</v>
      </c>
      <c r="D1311" s="46"/>
      <c r="E1311" s="26"/>
      <c r="F1311" s="62">
        <f t="shared" ref="F1311:M1313" si="285">F1312</f>
        <v>322.2</v>
      </c>
      <c r="G1311" s="62">
        <f t="shared" si="285"/>
        <v>0</v>
      </c>
      <c r="H1311" s="49">
        <f t="shared" si="268"/>
        <v>322.2</v>
      </c>
      <c r="I1311" s="62">
        <f t="shared" si="285"/>
        <v>0</v>
      </c>
      <c r="J1311" s="49">
        <f t="shared" si="278"/>
        <v>322.2</v>
      </c>
      <c r="K1311" s="62">
        <f t="shared" si="285"/>
        <v>0</v>
      </c>
      <c r="L1311" s="49">
        <f t="shared" si="271"/>
        <v>322.2</v>
      </c>
      <c r="M1311" s="62">
        <f t="shared" si="285"/>
        <v>0</v>
      </c>
      <c r="N1311" s="49">
        <f t="shared" si="281"/>
        <v>322.2</v>
      </c>
    </row>
    <row r="1312" spans="1:14" x14ac:dyDescent="0.2">
      <c r="A1312" s="45" t="s">
        <v>182</v>
      </c>
      <c r="B1312" s="79" t="s">
        <v>398</v>
      </c>
      <c r="C1312" s="65" t="s">
        <v>79</v>
      </c>
      <c r="D1312" s="46" t="s">
        <v>70</v>
      </c>
      <c r="E1312" s="26"/>
      <c r="F1312" s="62">
        <f t="shared" si="285"/>
        <v>322.2</v>
      </c>
      <c r="G1312" s="62">
        <f t="shared" si="285"/>
        <v>0</v>
      </c>
      <c r="H1312" s="49">
        <f t="shared" si="268"/>
        <v>322.2</v>
      </c>
      <c r="I1312" s="62">
        <f t="shared" si="285"/>
        <v>0</v>
      </c>
      <c r="J1312" s="49">
        <f t="shared" si="278"/>
        <v>322.2</v>
      </c>
      <c r="K1312" s="62">
        <f t="shared" si="285"/>
        <v>0</v>
      </c>
      <c r="L1312" s="49">
        <f t="shared" si="271"/>
        <v>322.2</v>
      </c>
      <c r="M1312" s="62">
        <f t="shared" si="285"/>
        <v>0</v>
      </c>
      <c r="N1312" s="49">
        <f t="shared" si="281"/>
        <v>322.2</v>
      </c>
    </row>
    <row r="1313" spans="1:14" ht="33" x14ac:dyDescent="0.2">
      <c r="A1313" s="50" t="str">
        <f t="shared" ref="A1313:A1314" ca="1" si="286">IF(ISERROR(MATCH(E1313,Код_КВР,0)),"",INDIRECT(ADDRESS(MATCH(E1313,Код_КВР,0)+1,2,,,"КВР")))</f>
        <v>Предоставление субсидий бюджетным, автономным учреждениям и иным некоммерческим организациям</v>
      </c>
      <c r="B1313" s="79" t="s">
        <v>398</v>
      </c>
      <c r="C1313" s="65" t="s">
        <v>79</v>
      </c>
      <c r="D1313" s="46" t="s">
        <v>70</v>
      </c>
      <c r="E1313" s="26">
        <v>600</v>
      </c>
      <c r="F1313" s="62">
        <f t="shared" si="285"/>
        <v>322.2</v>
      </c>
      <c r="G1313" s="62">
        <f t="shared" si="285"/>
        <v>0</v>
      </c>
      <c r="H1313" s="49">
        <f t="shared" si="268"/>
        <v>322.2</v>
      </c>
      <c r="I1313" s="62">
        <f t="shared" si="285"/>
        <v>0</v>
      </c>
      <c r="J1313" s="49">
        <f t="shared" si="278"/>
        <v>322.2</v>
      </c>
      <c r="K1313" s="62">
        <f t="shared" si="285"/>
        <v>0</v>
      </c>
      <c r="L1313" s="49">
        <f t="shared" si="271"/>
        <v>322.2</v>
      </c>
      <c r="M1313" s="62">
        <f t="shared" si="285"/>
        <v>0</v>
      </c>
      <c r="N1313" s="49">
        <f t="shared" si="281"/>
        <v>322.2</v>
      </c>
    </row>
    <row r="1314" spans="1:14" x14ac:dyDescent="0.2">
      <c r="A1314" s="50" t="str">
        <f t="shared" ca="1" si="286"/>
        <v>Субсидии бюджетным учреждениям</v>
      </c>
      <c r="B1314" s="79" t="s">
        <v>398</v>
      </c>
      <c r="C1314" s="65" t="s">
        <v>79</v>
      </c>
      <c r="D1314" s="46" t="s">
        <v>70</v>
      </c>
      <c r="E1314" s="26">
        <v>610</v>
      </c>
      <c r="F1314" s="62">
        <f>'прил. 8'!G1035</f>
        <v>322.2</v>
      </c>
      <c r="G1314" s="62">
        <f>'прил. 8'!H1035</f>
        <v>0</v>
      </c>
      <c r="H1314" s="49">
        <f t="shared" si="268"/>
        <v>322.2</v>
      </c>
      <c r="I1314" s="62">
        <f>'прил. 8'!J1035</f>
        <v>0</v>
      </c>
      <c r="J1314" s="49">
        <f t="shared" si="278"/>
        <v>322.2</v>
      </c>
      <c r="K1314" s="62">
        <f>'прил. 8'!L1035</f>
        <v>0</v>
      </c>
      <c r="L1314" s="49">
        <f t="shared" si="271"/>
        <v>322.2</v>
      </c>
      <c r="M1314" s="62">
        <f>'прил. 8'!N1035</f>
        <v>0</v>
      </c>
      <c r="N1314" s="49">
        <f t="shared" si="281"/>
        <v>322.2</v>
      </c>
    </row>
    <row r="1315" spans="1:14" x14ac:dyDescent="0.2">
      <c r="A1315" s="50" t="str">
        <f ca="1">IF(ISERROR(MATCH(C1315,Код_Раздел,0)),"",INDIRECT(ADDRESS(MATCH(C1315,Код_Раздел,0)+1,2,,,"Раздел")))</f>
        <v>Социальная политика</v>
      </c>
      <c r="B1315" s="79" t="s">
        <v>398</v>
      </c>
      <c r="C1315" s="65" t="s">
        <v>53</v>
      </c>
      <c r="D1315" s="46"/>
      <c r="E1315" s="26"/>
      <c r="F1315" s="62">
        <f>F1316</f>
        <v>186</v>
      </c>
      <c r="G1315" s="62">
        <f>G1316</f>
        <v>0</v>
      </c>
      <c r="H1315" s="49">
        <f t="shared" si="268"/>
        <v>186</v>
      </c>
      <c r="I1315" s="62">
        <f>I1316</f>
        <v>0</v>
      </c>
      <c r="J1315" s="49">
        <f t="shared" si="278"/>
        <v>186</v>
      </c>
      <c r="K1315" s="62">
        <f>K1316</f>
        <v>0</v>
      </c>
      <c r="L1315" s="49">
        <f t="shared" si="271"/>
        <v>186</v>
      </c>
      <c r="M1315" s="62">
        <f>M1316</f>
        <v>0</v>
      </c>
      <c r="N1315" s="49">
        <f t="shared" si="281"/>
        <v>186</v>
      </c>
    </row>
    <row r="1316" spans="1:14" x14ac:dyDescent="0.2">
      <c r="A1316" s="45" t="s">
        <v>44</v>
      </c>
      <c r="B1316" s="79" t="s">
        <v>398</v>
      </c>
      <c r="C1316" s="65" t="s">
        <v>53</v>
      </c>
      <c r="D1316" s="46" t="s">
        <v>72</v>
      </c>
      <c r="E1316" s="26"/>
      <c r="F1316" s="62">
        <f t="shared" ref="F1316:M1317" si="287">F1317</f>
        <v>186</v>
      </c>
      <c r="G1316" s="62">
        <f t="shared" si="287"/>
        <v>0</v>
      </c>
      <c r="H1316" s="49">
        <f t="shared" ref="H1316:H1401" si="288">F1316+G1316</f>
        <v>186</v>
      </c>
      <c r="I1316" s="62">
        <f t="shared" si="287"/>
        <v>0</v>
      </c>
      <c r="J1316" s="49">
        <f t="shared" si="278"/>
        <v>186</v>
      </c>
      <c r="K1316" s="62">
        <f t="shared" si="287"/>
        <v>0</v>
      </c>
      <c r="L1316" s="49">
        <f t="shared" si="271"/>
        <v>186</v>
      </c>
      <c r="M1316" s="62">
        <f t="shared" si="287"/>
        <v>0</v>
      </c>
      <c r="N1316" s="49">
        <f t="shared" si="281"/>
        <v>186</v>
      </c>
    </row>
    <row r="1317" spans="1:14" x14ac:dyDescent="0.2">
      <c r="A1317" s="50" t="str">
        <f ca="1">IF(ISERROR(MATCH(E1317,Код_КВР,0)),"",INDIRECT(ADDRESS(MATCH(E1317,Код_КВР,0)+1,2,,,"КВР")))</f>
        <v>Социальное обеспечение и иные выплаты населению</v>
      </c>
      <c r="B1317" s="79" t="s">
        <v>398</v>
      </c>
      <c r="C1317" s="65" t="s">
        <v>53</v>
      </c>
      <c r="D1317" s="46" t="s">
        <v>72</v>
      </c>
      <c r="E1317" s="26">
        <v>300</v>
      </c>
      <c r="F1317" s="62">
        <f t="shared" si="287"/>
        <v>186</v>
      </c>
      <c r="G1317" s="62">
        <f t="shared" si="287"/>
        <v>0</v>
      </c>
      <c r="H1317" s="49">
        <f t="shared" si="288"/>
        <v>186</v>
      </c>
      <c r="I1317" s="62">
        <f t="shared" si="287"/>
        <v>0</v>
      </c>
      <c r="J1317" s="49">
        <f t="shared" si="278"/>
        <v>186</v>
      </c>
      <c r="K1317" s="62">
        <f t="shared" si="287"/>
        <v>0</v>
      </c>
      <c r="L1317" s="49">
        <f t="shared" si="271"/>
        <v>186</v>
      </c>
      <c r="M1317" s="62">
        <f t="shared" si="287"/>
        <v>0</v>
      </c>
      <c r="N1317" s="49">
        <f t="shared" si="281"/>
        <v>186</v>
      </c>
    </row>
    <row r="1318" spans="1:14" x14ac:dyDescent="0.2">
      <c r="A1318" s="50" t="str">
        <f ca="1">IF(ISERROR(MATCH(E1318,Код_КВР,0)),"",INDIRECT(ADDRESS(MATCH(E1318,Код_КВР,0)+1,2,,,"КВР")))</f>
        <v>Иные выплаты населению</v>
      </c>
      <c r="B1318" s="79" t="s">
        <v>398</v>
      </c>
      <c r="C1318" s="65" t="s">
        <v>53</v>
      </c>
      <c r="D1318" s="46" t="s">
        <v>72</v>
      </c>
      <c r="E1318" s="26">
        <v>360</v>
      </c>
      <c r="F1318" s="62">
        <f>'прил. 8'!G426</f>
        <v>186</v>
      </c>
      <c r="G1318" s="62">
        <f>'прил. 8'!H426</f>
        <v>0</v>
      </c>
      <c r="H1318" s="49">
        <f t="shared" si="288"/>
        <v>186</v>
      </c>
      <c r="I1318" s="62">
        <f>'прил. 8'!J426</f>
        <v>0</v>
      </c>
      <c r="J1318" s="49">
        <f t="shared" si="278"/>
        <v>186</v>
      </c>
      <c r="K1318" s="62">
        <f>'прил. 8'!L426</f>
        <v>0</v>
      </c>
      <c r="L1318" s="49">
        <f t="shared" si="271"/>
        <v>186</v>
      </c>
      <c r="M1318" s="62">
        <f>'прил. 8'!N426</f>
        <v>0</v>
      </c>
      <c r="N1318" s="49">
        <f t="shared" si="281"/>
        <v>186</v>
      </c>
    </row>
    <row r="1319" spans="1:14" ht="49.5" x14ac:dyDescent="0.2">
      <c r="A1319" s="50" t="str">
        <f ca="1">IF(ISERROR(MATCH(B1319,Код_КЦСР,0)),"",INDIRECT(ADDRESS(MATCH(B1319,Код_КЦСР,0)+1,2,,,"КЦСР")))</f>
        <v>Правовое информирование граждан, создание условий для участия граждан в социально значимых мероприятиях, направленных на противодействие развитию негативных явлений в обществе</v>
      </c>
      <c r="B1319" s="79" t="s">
        <v>564</v>
      </c>
      <c r="C1319" s="65"/>
      <c r="D1319" s="46"/>
      <c r="E1319" s="26"/>
      <c r="F1319" s="62">
        <f>F1320</f>
        <v>2</v>
      </c>
      <c r="G1319" s="62">
        <f>G1320</f>
        <v>0</v>
      </c>
      <c r="H1319" s="49">
        <f t="shared" si="288"/>
        <v>2</v>
      </c>
      <c r="I1319" s="62">
        <f>I1320</f>
        <v>0</v>
      </c>
      <c r="J1319" s="49">
        <f t="shared" si="278"/>
        <v>2</v>
      </c>
      <c r="K1319" s="62">
        <f>K1320</f>
        <v>0</v>
      </c>
      <c r="L1319" s="49">
        <f t="shared" si="271"/>
        <v>2</v>
      </c>
      <c r="M1319" s="62">
        <f>M1320</f>
        <v>0</v>
      </c>
      <c r="N1319" s="49">
        <f t="shared" si="281"/>
        <v>2</v>
      </c>
    </row>
    <row r="1320" spans="1:14" x14ac:dyDescent="0.2">
      <c r="A1320" s="50" t="str">
        <f ca="1">IF(ISERROR(MATCH(C1320,Код_Раздел,0)),"",INDIRECT(ADDRESS(MATCH(C1320,Код_Раздел,0)+1,2,,,"Раздел")))</f>
        <v>Общегосударственные вопросы</v>
      </c>
      <c r="B1320" s="79" t="s">
        <v>564</v>
      </c>
      <c r="C1320" s="65" t="s">
        <v>70</v>
      </c>
      <c r="D1320" s="46"/>
      <c r="E1320" s="26"/>
      <c r="F1320" s="62">
        <f t="shared" ref="F1320:M1322" si="289">F1321</f>
        <v>2</v>
      </c>
      <c r="G1320" s="62">
        <f t="shared" si="289"/>
        <v>0</v>
      </c>
      <c r="H1320" s="49">
        <f t="shared" si="288"/>
        <v>2</v>
      </c>
      <c r="I1320" s="62">
        <f t="shared" si="289"/>
        <v>0</v>
      </c>
      <c r="J1320" s="49">
        <f t="shared" si="278"/>
        <v>2</v>
      </c>
      <c r="K1320" s="62">
        <f t="shared" si="289"/>
        <v>0</v>
      </c>
      <c r="L1320" s="49">
        <f t="shared" ref="L1320:L1383" si="290">J1320+K1320</f>
        <v>2</v>
      </c>
      <c r="M1320" s="62">
        <f t="shared" si="289"/>
        <v>0</v>
      </c>
      <c r="N1320" s="49">
        <f t="shared" si="281"/>
        <v>2</v>
      </c>
    </row>
    <row r="1321" spans="1:14" x14ac:dyDescent="0.2">
      <c r="A1321" s="45" t="s">
        <v>91</v>
      </c>
      <c r="B1321" s="79" t="s">
        <v>564</v>
      </c>
      <c r="C1321" s="65" t="s">
        <v>70</v>
      </c>
      <c r="D1321" s="46" t="s">
        <v>55</v>
      </c>
      <c r="E1321" s="26"/>
      <c r="F1321" s="62">
        <f t="shared" si="289"/>
        <v>2</v>
      </c>
      <c r="G1321" s="62">
        <f t="shared" si="289"/>
        <v>0</v>
      </c>
      <c r="H1321" s="49">
        <f t="shared" si="288"/>
        <v>2</v>
      </c>
      <c r="I1321" s="62">
        <f t="shared" si="289"/>
        <v>0</v>
      </c>
      <c r="J1321" s="49">
        <f t="shared" si="278"/>
        <v>2</v>
      </c>
      <c r="K1321" s="62">
        <f t="shared" si="289"/>
        <v>0</v>
      </c>
      <c r="L1321" s="49">
        <f t="shared" si="290"/>
        <v>2</v>
      </c>
      <c r="M1321" s="62">
        <f t="shared" si="289"/>
        <v>0</v>
      </c>
      <c r="N1321" s="49">
        <f t="shared" si="281"/>
        <v>2</v>
      </c>
    </row>
    <row r="1322" spans="1:14" ht="33" x14ac:dyDescent="0.2">
      <c r="A1322" s="50" t="str">
        <f ca="1">IF(ISERROR(MATCH(E1322,Код_КВР,0)),"",INDIRECT(ADDRESS(MATCH(E1322,Код_КВР,0)+1,2,,,"КВР")))</f>
        <v>Закупка товаров, работ и услуг для обеспечения государственных (муниципальных) нужд</v>
      </c>
      <c r="B1322" s="79" t="s">
        <v>564</v>
      </c>
      <c r="C1322" s="65" t="s">
        <v>70</v>
      </c>
      <c r="D1322" s="46" t="s">
        <v>55</v>
      </c>
      <c r="E1322" s="26">
        <v>200</v>
      </c>
      <c r="F1322" s="62">
        <f t="shared" si="289"/>
        <v>2</v>
      </c>
      <c r="G1322" s="62">
        <f t="shared" si="289"/>
        <v>0</v>
      </c>
      <c r="H1322" s="49">
        <f t="shared" si="288"/>
        <v>2</v>
      </c>
      <c r="I1322" s="62">
        <f t="shared" si="289"/>
        <v>0</v>
      </c>
      <c r="J1322" s="49">
        <f t="shared" si="278"/>
        <v>2</v>
      </c>
      <c r="K1322" s="62">
        <f t="shared" si="289"/>
        <v>0</v>
      </c>
      <c r="L1322" s="49">
        <f t="shared" si="290"/>
        <v>2</v>
      </c>
      <c r="M1322" s="62">
        <f t="shared" si="289"/>
        <v>0</v>
      </c>
      <c r="N1322" s="49">
        <f t="shared" si="281"/>
        <v>2</v>
      </c>
    </row>
    <row r="1323" spans="1:14" ht="33" x14ac:dyDescent="0.2">
      <c r="A1323" s="50" t="str">
        <f ca="1">IF(ISERROR(MATCH(E1323,Код_КВР,0)),"",INDIRECT(ADDRESS(MATCH(E1323,Код_КВР,0)+1,2,,,"КВР")))</f>
        <v>Иные закупки товаров, работ и услуг для обеспечения государственных (муниципальных) нужд</v>
      </c>
      <c r="B1323" s="79" t="s">
        <v>564</v>
      </c>
      <c r="C1323" s="65" t="s">
        <v>70</v>
      </c>
      <c r="D1323" s="46" t="s">
        <v>55</v>
      </c>
      <c r="E1323" s="26">
        <v>240</v>
      </c>
      <c r="F1323" s="62">
        <f>'прил. 8'!G123</f>
        <v>2</v>
      </c>
      <c r="G1323" s="62">
        <f>'прил. 8'!H123</f>
        <v>0</v>
      </c>
      <c r="H1323" s="49">
        <f t="shared" si="288"/>
        <v>2</v>
      </c>
      <c r="I1323" s="62">
        <f>'прил. 8'!J123</f>
        <v>0</v>
      </c>
      <c r="J1323" s="49">
        <f t="shared" si="278"/>
        <v>2</v>
      </c>
      <c r="K1323" s="62">
        <f>'прил. 8'!L123</f>
        <v>0</v>
      </c>
      <c r="L1323" s="49">
        <f t="shared" si="290"/>
        <v>2</v>
      </c>
      <c r="M1323" s="62">
        <f>'прил. 8'!N123</f>
        <v>0</v>
      </c>
      <c r="N1323" s="49">
        <f t="shared" si="281"/>
        <v>2</v>
      </c>
    </row>
    <row r="1324" spans="1:14" ht="24.75" customHeight="1" x14ac:dyDescent="0.2">
      <c r="A1324" s="50" t="str">
        <f ca="1">IF(ISERROR(MATCH(B1324,Код_КЦСР,0)),"",INDIRECT(ADDRESS(MATCH(B1324,Код_КЦСР,0)+1,2,,,"КЦСР")))</f>
        <v>Повышение безопасности дорожного движения в городе Череповце</v>
      </c>
      <c r="B1324" s="79" t="s">
        <v>670</v>
      </c>
      <c r="C1324" s="65"/>
      <c r="D1324" s="46"/>
      <c r="E1324" s="26"/>
      <c r="F1324" s="62"/>
      <c r="G1324" s="62"/>
      <c r="H1324" s="49"/>
      <c r="I1324" s="62">
        <f>I1325</f>
        <v>165.5</v>
      </c>
      <c r="J1324" s="49">
        <f t="shared" si="278"/>
        <v>165.5</v>
      </c>
      <c r="K1324" s="62">
        <f>K1325</f>
        <v>0</v>
      </c>
      <c r="L1324" s="49">
        <f t="shared" si="290"/>
        <v>165.5</v>
      </c>
      <c r="M1324" s="62">
        <f>M1325</f>
        <v>0</v>
      </c>
      <c r="N1324" s="49">
        <f t="shared" si="281"/>
        <v>165.5</v>
      </c>
    </row>
    <row r="1325" spans="1:14" ht="25.5" customHeight="1" x14ac:dyDescent="0.2">
      <c r="A1325" s="50" t="s">
        <v>519</v>
      </c>
      <c r="B1325" s="79" t="s">
        <v>666</v>
      </c>
      <c r="C1325" s="65"/>
      <c r="D1325" s="46"/>
      <c r="E1325" s="26"/>
      <c r="F1325" s="62"/>
      <c r="G1325" s="62"/>
      <c r="H1325" s="49"/>
      <c r="I1325" s="62">
        <f>I1326+I1331</f>
        <v>165.5</v>
      </c>
      <c r="J1325" s="49">
        <f t="shared" si="278"/>
        <v>165.5</v>
      </c>
      <c r="K1325" s="62">
        <f>K1326+K1331</f>
        <v>0</v>
      </c>
      <c r="L1325" s="49">
        <f t="shared" si="290"/>
        <v>165.5</v>
      </c>
      <c r="M1325" s="62">
        <f>M1326+M1331</f>
        <v>0</v>
      </c>
      <c r="N1325" s="49">
        <f t="shared" si="281"/>
        <v>165.5</v>
      </c>
    </row>
    <row r="1326" spans="1:14" ht="25.5" customHeight="1" x14ac:dyDescent="0.2">
      <c r="A1326" s="50" t="s">
        <v>519</v>
      </c>
      <c r="B1326" s="79" t="s">
        <v>667</v>
      </c>
      <c r="C1326" s="65"/>
      <c r="D1326" s="46"/>
      <c r="E1326" s="26"/>
      <c r="F1326" s="62"/>
      <c r="G1326" s="62"/>
      <c r="H1326" s="49"/>
      <c r="I1326" s="62">
        <f>I1327</f>
        <v>165.4</v>
      </c>
      <c r="J1326" s="49">
        <f t="shared" si="278"/>
        <v>165.4</v>
      </c>
      <c r="K1326" s="62">
        <f>K1327</f>
        <v>0</v>
      </c>
      <c r="L1326" s="49">
        <f t="shared" si="290"/>
        <v>165.4</v>
      </c>
      <c r="M1326" s="62">
        <f>M1327</f>
        <v>0</v>
      </c>
      <c r="N1326" s="49">
        <f t="shared" si="281"/>
        <v>165.4</v>
      </c>
    </row>
    <row r="1327" spans="1:14" x14ac:dyDescent="0.2">
      <c r="A1327" s="50" t="str">
        <f ca="1">IF(ISERROR(MATCH(C1327,Код_Раздел,0)),"",INDIRECT(ADDRESS(MATCH(C1327,Код_Раздел,0)+1,2,,,"Раздел")))</f>
        <v>Образование</v>
      </c>
      <c r="B1327" s="79" t="s">
        <v>667</v>
      </c>
      <c r="C1327" s="65" t="s">
        <v>60</v>
      </c>
      <c r="D1327" s="46"/>
      <c r="E1327" s="26"/>
      <c r="F1327" s="62"/>
      <c r="G1327" s="62"/>
      <c r="H1327" s="49"/>
      <c r="I1327" s="62">
        <f>I1328</f>
        <v>165.4</v>
      </c>
      <c r="J1327" s="49">
        <f t="shared" si="278"/>
        <v>165.4</v>
      </c>
      <c r="K1327" s="62">
        <f>K1328</f>
        <v>0</v>
      </c>
      <c r="L1327" s="49">
        <f t="shared" si="290"/>
        <v>165.4</v>
      </c>
      <c r="M1327" s="62">
        <f>M1328</f>
        <v>0</v>
      </c>
      <c r="N1327" s="49">
        <f t="shared" si="281"/>
        <v>165.4</v>
      </c>
    </row>
    <row r="1328" spans="1:14" x14ac:dyDescent="0.2">
      <c r="A1328" s="45" t="s">
        <v>102</v>
      </c>
      <c r="B1328" s="79" t="s">
        <v>667</v>
      </c>
      <c r="C1328" s="65" t="s">
        <v>60</v>
      </c>
      <c r="D1328" s="46" t="s">
        <v>71</v>
      </c>
      <c r="E1328" s="26"/>
      <c r="F1328" s="62"/>
      <c r="G1328" s="62"/>
      <c r="H1328" s="49"/>
      <c r="I1328" s="62">
        <f>I1329</f>
        <v>165.4</v>
      </c>
      <c r="J1328" s="49">
        <f t="shared" si="278"/>
        <v>165.4</v>
      </c>
      <c r="K1328" s="62">
        <f>K1329</f>
        <v>0</v>
      </c>
      <c r="L1328" s="49">
        <f t="shared" si="290"/>
        <v>165.4</v>
      </c>
      <c r="M1328" s="62">
        <f>M1329</f>
        <v>0</v>
      </c>
      <c r="N1328" s="49">
        <f t="shared" si="281"/>
        <v>165.4</v>
      </c>
    </row>
    <row r="1329" spans="1:14" ht="33" x14ac:dyDescent="0.2">
      <c r="A1329" s="50" t="str">
        <f ca="1">IF(ISERROR(MATCH(E1329,Код_КВР,0)),"",INDIRECT(ADDRESS(MATCH(E1329,Код_КВР,0)+1,2,,,"КВР")))</f>
        <v>Предоставление субсидий бюджетным, автономным учреждениям и иным некоммерческим организациям</v>
      </c>
      <c r="B1329" s="79" t="s">
        <v>667</v>
      </c>
      <c r="C1329" s="65" t="s">
        <v>60</v>
      </c>
      <c r="D1329" s="46" t="s">
        <v>71</v>
      </c>
      <c r="E1329" s="26">
        <v>600</v>
      </c>
      <c r="F1329" s="62"/>
      <c r="G1329" s="62"/>
      <c r="H1329" s="49"/>
      <c r="I1329" s="62">
        <f>I1330</f>
        <v>165.4</v>
      </c>
      <c r="J1329" s="49">
        <f t="shared" si="278"/>
        <v>165.4</v>
      </c>
      <c r="K1329" s="62">
        <f>K1330</f>
        <v>0</v>
      </c>
      <c r="L1329" s="49">
        <f t="shared" si="290"/>
        <v>165.4</v>
      </c>
      <c r="M1329" s="62">
        <f>M1330</f>
        <v>0</v>
      </c>
      <c r="N1329" s="49">
        <f t="shared" si="281"/>
        <v>165.4</v>
      </c>
    </row>
    <row r="1330" spans="1:14" x14ac:dyDescent="0.2">
      <c r="A1330" s="50" t="str">
        <f ca="1">IF(ISERROR(MATCH(E1330,Код_КВР,0)),"",INDIRECT(ADDRESS(MATCH(E1330,Код_КВР,0)+1,2,,,"КВР")))</f>
        <v>Субсидии бюджетным учреждениям</v>
      </c>
      <c r="B1330" s="79" t="s">
        <v>667</v>
      </c>
      <c r="C1330" s="65" t="s">
        <v>60</v>
      </c>
      <c r="D1330" s="46" t="s">
        <v>71</v>
      </c>
      <c r="E1330" s="26">
        <v>610</v>
      </c>
      <c r="F1330" s="62"/>
      <c r="G1330" s="62"/>
      <c r="H1330" s="49"/>
      <c r="I1330" s="62">
        <f>'прил. 8'!J793</f>
        <v>165.4</v>
      </c>
      <c r="J1330" s="49">
        <f t="shared" si="278"/>
        <v>165.4</v>
      </c>
      <c r="K1330" s="62">
        <f>'прил. 8'!L793</f>
        <v>0</v>
      </c>
      <c r="L1330" s="49">
        <f t="shared" si="290"/>
        <v>165.4</v>
      </c>
      <c r="M1330" s="62">
        <f>'прил. 8'!N793</f>
        <v>0</v>
      </c>
      <c r="N1330" s="49">
        <f t="shared" si="281"/>
        <v>165.4</v>
      </c>
    </row>
    <row r="1331" spans="1:14" x14ac:dyDescent="0.2">
      <c r="A1331" s="50" t="s">
        <v>519</v>
      </c>
      <c r="B1331" s="79" t="s">
        <v>678</v>
      </c>
      <c r="C1331" s="65"/>
      <c r="D1331" s="46"/>
      <c r="E1331" s="26"/>
      <c r="F1331" s="62"/>
      <c r="G1331" s="62"/>
      <c r="H1331" s="49"/>
      <c r="I1331" s="62">
        <f>I1332</f>
        <v>0.1</v>
      </c>
      <c r="J1331" s="49">
        <f t="shared" si="278"/>
        <v>0.1</v>
      </c>
      <c r="K1331" s="62">
        <f>K1332</f>
        <v>0</v>
      </c>
      <c r="L1331" s="49">
        <f t="shared" si="290"/>
        <v>0.1</v>
      </c>
      <c r="M1331" s="62">
        <f>M1332</f>
        <v>0</v>
      </c>
      <c r="N1331" s="49">
        <f t="shared" si="281"/>
        <v>0.1</v>
      </c>
    </row>
    <row r="1332" spans="1:14" x14ac:dyDescent="0.2">
      <c r="A1332" s="50" t="str">
        <f ca="1">IF(ISERROR(MATCH(C1332,Код_Раздел,0)),"",INDIRECT(ADDRESS(MATCH(C1332,Код_Раздел,0)+1,2,,,"Раздел")))</f>
        <v>Образование</v>
      </c>
      <c r="B1332" s="79" t="s">
        <v>678</v>
      </c>
      <c r="C1332" s="65" t="s">
        <v>60</v>
      </c>
      <c r="D1332" s="46"/>
      <c r="E1332" s="26"/>
      <c r="F1332" s="62"/>
      <c r="G1332" s="62"/>
      <c r="H1332" s="49"/>
      <c r="I1332" s="62">
        <f>I1333</f>
        <v>0.1</v>
      </c>
      <c r="J1332" s="49">
        <f t="shared" si="278"/>
        <v>0.1</v>
      </c>
      <c r="K1332" s="62">
        <f>K1333</f>
        <v>0</v>
      </c>
      <c r="L1332" s="49">
        <f t="shared" si="290"/>
        <v>0.1</v>
      </c>
      <c r="M1332" s="62">
        <f>M1333</f>
        <v>0</v>
      </c>
      <c r="N1332" s="49">
        <f t="shared" si="281"/>
        <v>0.1</v>
      </c>
    </row>
    <row r="1333" spans="1:14" x14ac:dyDescent="0.2">
      <c r="A1333" s="45" t="s">
        <v>102</v>
      </c>
      <c r="B1333" s="79" t="s">
        <v>678</v>
      </c>
      <c r="C1333" s="65" t="s">
        <v>60</v>
      </c>
      <c r="D1333" s="46" t="s">
        <v>71</v>
      </c>
      <c r="E1333" s="26"/>
      <c r="F1333" s="62"/>
      <c r="G1333" s="62"/>
      <c r="H1333" s="49"/>
      <c r="I1333" s="62">
        <f>I1334</f>
        <v>0.1</v>
      </c>
      <c r="J1333" s="49">
        <f t="shared" si="278"/>
        <v>0.1</v>
      </c>
      <c r="K1333" s="62">
        <f>K1334</f>
        <v>0</v>
      </c>
      <c r="L1333" s="49">
        <f t="shared" si="290"/>
        <v>0.1</v>
      </c>
      <c r="M1333" s="62">
        <f>M1334</f>
        <v>0</v>
      </c>
      <c r="N1333" s="49">
        <f t="shared" si="281"/>
        <v>0.1</v>
      </c>
    </row>
    <row r="1334" spans="1:14" ht="33" x14ac:dyDescent="0.2">
      <c r="A1334" s="50" t="str">
        <f ca="1">IF(ISERROR(MATCH(E1334,Код_КВР,0)),"",INDIRECT(ADDRESS(MATCH(E1334,Код_КВР,0)+1,2,,,"КВР")))</f>
        <v>Предоставление субсидий бюджетным, автономным учреждениям и иным некоммерческим организациям</v>
      </c>
      <c r="B1334" s="79" t="s">
        <v>678</v>
      </c>
      <c r="C1334" s="65" t="s">
        <v>60</v>
      </c>
      <c r="D1334" s="46" t="s">
        <v>71</v>
      </c>
      <c r="E1334" s="26">
        <v>600</v>
      </c>
      <c r="F1334" s="62"/>
      <c r="G1334" s="62"/>
      <c r="H1334" s="49"/>
      <c r="I1334" s="62">
        <f>I1335</f>
        <v>0.1</v>
      </c>
      <c r="J1334" s="49">
        <f t="shared" si="278"/>
        <v>0.1</v>
      </c>
      <c r="K1334" s="62">
        <f>K1335</f>
        <v>0</v>
      </c>
      <c r="L1334" s="49">
        <f t="shared" si="290"/>
        <v>0.1</v>
      </c>
      <c r="M1334" s="62">
        <f>M1335</f>
        <v>0</v>
      </c>
      <c r="N1334" s="49">
        <f t="shared" si="281"/>
        <v>0.1</v>
      </c>
    </row>
    <row r="1335" spans="1:14" x14ac:dyDescent="0.2">
      <c r="A1335" s="50" t="str">
        <f ca="1">IF(ISERROR(MATCH(E1335,Код_КВР,0)),"",INDIRECT(ADDRESS(MATCH(E1335,Код_КВР,0)+1,2,,,"КВР")))</f>
        <v>Субсидии бюджетным учреждениям</v>
      </c>
      <c r="B1335" s="79" t="s">
        <v>678</v>
      </c>
      <c r="C1335" s="65" t="s">
        <v>60</v>
      </c>
      <c r="D1335" s="46" t="s">
        <v>71</v>
      </c>
      <c r="E1335" s="26">
        <v>610</v>
      </c>
      <c r="F1335" s="62"/>
      <c r="G1335" s="62"/>
      <c r="H1335" s="49"/>
      <c r="I1335" s="62">
        <f>'прил. 8'!J796</f>
        <v>0.1</v>
      </c>
      <c r="J1335" s="49">
        <f t="shared" si="278"/>
        <v>0.1</v>
      </c>
      <c r="K1335" s="62">
        <f>'прил. 8'!L796</f>
        <v>0</v>
      </c>
      <c r="L1335" s="49">
        <f t="shared" si="290"/>
        <v>0.1</v>
      </c>
      <c r="M1335" s="62">
        <f>'прил. 8'!N796</f>
        <v>0</v>
      </c>
      <c r="N1335" s="49">
        <f t="shared" si="281"/>
        <v>0.1</v>
      </c>
    </row>
    <row r="1336" spans="1:14" ht="49.5" x14ac:dyDescent="0.2">
      <c r="A1336" s="50" t="str">
        <f ca="1">IF(ISERROR(MATCH(B1336,Код_КЦСР,0)),"",INDIRECT(ADDRESS(MATCH(B1336,Код_КЦСР,0)+1,2,,,"КЦСР")))</f>
        <v>Противодействие распространению психоактивных веществ и участие в работе по снижению масштабов их злоупотребления населением города Череповца</v>
      </c>
      <c r="B1336" s="79" t="s">
        <v>566</v>
      </c>
      <c r="C1336" s="65"/>
      <c r="D1336" s="46"/>
      <c r="E1336" s="26"/>
      <c r="F1336" s="62">
        <f t="shared" ref="F1336:M1340" si="291">F1337</f>
        <v>1</v>
      </c>
      <c r="G1336" s="62">
        <f t="shared" si="291"/>
        <v>0</v>
      </c>
      <c r="H1336" s="49">
        <f t="shared" si="288"/>
        <v>1</v>
      </c>
      <c r="I1336" s="62">
        <f t="shared" si="291"/>
        <v>0</v>
      </c>
      <c r="J1336" s="49">
        <f t="shared" si="278"/>
        <v>1</v>
      </c>
      <c r="K1336" s="62">
        <f t="shared" si="291"/>
        <v>0</v>
      </c>
      <c r="L1336" s="49">
        <f t="shared" si="290"/>
        <v>1</v>
      </c>
      <c r="M1336" s="62">
        <f t="shared" si="291"/>
        <v>0</v>
      </c>
      <c r="N1336" s="49">
        <f t="shared" si="281"/>
        <v>1</v>
      </c>
    </row>
    <row r="1337" spans="1:14" x14ac:dyDescent="0.2">
      <c r="A1337" s="50" t="s">
        <v>519</v>
      </c>
      <c r="B1337" s="65" t="s">
        <v>568</v>
      </c>
      <c r="C1337" s="65"/>
      <c r="D1337" s="46"/>
      <c r="E1337" s="26"/>
      <c r="F1337" s="62">
        <f t="shared" si="291"/>
        <v>1</v>
      </c>
      <c r="G1337" s="62">
        <f t="shared" si="291"/>
        <v>0</v>
      </c>
      <c r="H1337" s="49">
        <f t="shared" si="288"/>
        <v>1</v>
      </c>
      <c r="I1337" s="62">
        <f t="shared" si="291"/>
        <v>0</v>
      </c>
      <c r="J1337" s="49">
        <f t="shared" si="278"/>
        <v>1</v>
      </c>
      <c r="K1337" s="62">
        <f t="shared" si="291"/>
        <v>0</v>
      </c>
      <c r="L1337" s="49">
        <f t="shared" si="290"/>
        <v>1</v>
      </c>
      <c r="M1337" s="62">
        <f t="shared" si="291"/>
        <v>0</v>
      </c>
      <c r="N1337" s="49">
        <f t="shared" si="281"/>
        <v>1</v>
      </c>
    </row>
    <row r="1338" spans="1:14" x14ac:dyDescent="0.2">
      <c r="A1338" s="50" t="str">
        <f ca="1">IF(ISERROR(MATCH(C1338,Код_Раздел,0)),"",INDIRECT(ADDRESS(MATCH(C1338,Код_Раздел,0)+1,2,,,"Раздел")))</f>
        <v>Общегосударственные вопросы</v>
      </c>
      <c r="B1338" s="65" t="s">
        <v>568</v>
      </c>
      <c r="C1338" s="65" t="s">
        <v>70</v>
      </c>
      <c r="D1338" s="46"/>
      <c r="E1338" s="26"/>
      <c r="F1338" s="62">
        <f t="shared" si="291"/>
        <v>1</v>
      </c>
      <c r="G1338" s="62">
        <f t="shared" si="291"/>
        <v>0</v>
      </c>
      <c r="H1338" s="49">
        <f t="shared" si="288"/>
        <v>1</v>
      </c>
      <c r="I1338" s="62">
        <f t="shared" si="291"/>
        <v>0</v>
      </c>
      <c r="J1338" s="49">
        <f t="shared" si="278"/>
        <v>1</v>
      </c>
      <c r="K1338" s="62">
        <f t="shared" si="291"/>
        <v>0</v>
      </c>
      <c r="L1338" s="49">
        <f t="shared" si="290"/>
        <v>1</v>
      </c>
      <c r="M1338" s="62">
        <f t="shared" si="291"/>
        <v>0</v>
      </c>
      <c r="N1338" s="49">
        <f t="shared" si="281"/>
        <v>1</v>
      </c>
    </row>
    <row r="1339" spans="1:14" x14ac:dyDescent="0.2">
      <c r="A1339" s="45" t="s">
        <v>91</v>
      </c>
      <c r="B1339" s="65" t="s">
        <v>568</v>
      </c>
      <c r="C1339" s="65" t="s">
        <v>70</v>
      </c>
      <c r="D1339" s="46" t="s">
        <v>55</v>
      </c>
      <c r="E1339" s="26"/>
      <c r="F1339" s="62">
        <f t="shared" si="291"/>
        <v>1</v>
      </c>
      <c r="G1339" s="62">
        <f t="shared" si="291"/>
        <v>0</v>
      </c>
      <c r="H1339" s="49">
        <f t="shared" si="288"/>
        <v>1</v>
      </c>
      <c r="I1339" s="62">
        <f t="shared" si="291"/>
        <v>0</v>
      </c>
      <c r="J1339" s="49">
        <f t="shared" si="278"/>
        <v>1</v>
      </c>
      <c r="K1339" s="62">
        <f t="shared" si="291"/>
        <v>0</v>
      </c>
      <c r="L1339" s="49">
        <f t="shared" si="290"/>
        <v>1</v>
      </c>
      <c r="M1339" s="62">
        <f t="shared" si="291"/>
        <v>0</v>
      </c>
      <c r="N1339" s="49">
        <f t="shared" si="281"/>
        <v>1</v>
      </c>
    </row>
    <row r="1340" spans="1:14" ht="38.25" customHeight="1" x14ac:dyDescent="0.2">
      <c r="A1340" s="50" t="str">
        <f ca="1">IF(ISERROR(MATCH(E1340,Код_КВР,0)),"",INDIRECT(ADDRESS(MATCH(E1340,Код_КВР,0)+1,2,,,"КВР")))</f>
        <v>Закупка товаров, работ и услуг для обеспечения государственных (муниципальных) нужд</v>
      </c>
      <c r="B1340" s="65" t="s">
        <v>568</v>
      </c>
      <c r="C1340" s="65" t="s">
        <v>70</v>
      </c>
      <c r="D1340" s="46" t="s">
        <v>55</v>
      </c>
      <c r="E1340" s="26">
        <v>200</v>
      </c>
      <c r="F1340" s="62">
        <f t="shared" si="291"/>
        <v>1</v>
      </c>
      <c r="G1340" s="62">
        <f t="shared" si="291"/>
        <v>0</v>
      </c>
      <c r="H1340" s="49">
        <f t="shared" si="288"/>
        <v>1</v>
      </c>
      <c r="I1340" s="62">
        <f t="shared" si="291"/>
        <v>0</v>
      </c>
      <c r="J1340" s="49">
        <f t="shared" si="278"/>
        <v>1</v>
      </c>
      <c r="K1340" s="62">
        <f t="shared" si="291"/>
        <v>0</v>
      </c>
      <c r="L1340" s="49">
        <f t="shared" si="290"/>
        <v>1</v>
      </c>
      <c r="M1340" s="62">
        <f t="shared" si="291"/>
        <v>0</v>
      </c>
      <c r="N1340" s="49">
        <f t="shared" si="281"/>
        <v>1</v>
      </c>
    </row>
    <row r="1341" spans="1:14" ht="36" customHeight="1" x14ac:dyDescent="0.2">
      <c r="A1341" s="50" t="str">
        <f ca="1">IF(ISERROR(MATCH(E1341,Код_КВР,0)),"",INDIRECT(ADDRESS(MATCH(E1341,Код_КВР,0)+1,2,,,"КВР")))</f>
        <v>Иные закупки товаров, работ и услуг для обеспечения государственных (муниципальных) нужд</v>
      </c>
      <c r="B1341" s="65" t="s">
        <v>568</v>
      </c>
      <c r="C1341" s="65" t="s">
        <v>70</v>
      </c>
      <c r="D1341" s="46" t="s">
        <v>55</v>
      </c>
      <c r="E1341" s="26">
        <v>240</v>
      </c>
      <c r="F1341" s="62">
        <f>'прил. 8'!G127</f>
        <v>1</v>
      </c>
      <c r="G1341" s="62">
        <f>'прил. 8'!H127</f>
        <v>0</v>
      </c>
      <c r="H1341" s="49">
        <f t="shared" si="288"/>
        <v>1</v>
      </c>
      <c r="I1341" s="62">
        <f>'прил. 8'!J127</f>
        <v>0</v>
      </c>
      <c r="J1341" s="49">
        <f t="shared" si="278"/>
        <v>1</v>
      </c>
      <c r="K1341" s="62">
        <f>'прил. 8'!L127</f>
        <v>0</v>
      </c>
      <c r="L1341" s="49">
        <f t="shared" si="290"/>
        <v>1</v>
      </c>
      <c r="M1341" s="62">
        <f>'прил. 8'!N127</f>
        <v>0</v>
      </c>
      <c r="N1341" s="49">
        <f t="shared" si="281"/>
        <v>1</v>
      </c>
    </row>
    <row r="1342" spans="1:14" x14ac:dyDescent="0.2">
      <c r="A1342" s="50" t="str">
        <f ca="1">IF(ISERROR(MATCH(B1342,Код_КЦСР,0)),"",INDIRECT(ADDRESS(MATCH(B1342,Код_КЦСР,0)+1,2,,,"КЦСР")))</f>
        <v>Расходы, не включенные в муниципальные программы города Череповца</v>
      </c>
      <c r="B1342" s="79" t="s">
        <v>399</v>
      </c>
      <c r="C1342" s="65"/>
      <c r="D1342" s="46"/>
      <c r="E1342" s="26"/>
      <c r="F1342" s="62">
        <f>F1343+F1399+F1414+F1426+F1441+F1447</f>
        <v>330256.09999999998</v>
      </c>
      <c r="G1342" s="62">
        <f>G1343+G1399+G1414+G1426+G1441+G1447</f>
        <v>-18553.599999999999</v>
      </c>
      <c r="H1342" s="49">
        <f t="shared" si="288"/>
        <v>311702.5</v>
      </c>
      <c r="I1342" s="62">
        <f>I1343+I1399+I1414+I1426+I1441+I1447</f>
        <v>41604.700000000004</v>
      </c>
      <c r="J1342" s="49">
        <f t="shared" si="278"/>
        <v>353307.2</v>
      </c>
      <c r="K1342" s="62">
        <f>K1343+K1399+K1414+K1426+K1441+K1447</f>
        <v>-8218.2999999999993</v>
      </c>
      <c r="L1342" s="49">
        <f t="shared" si="290"/>
        <v>345088.9</v>
      </c>
      <c r="M1342" s="62">
        <f>M1343+M1399+M1414+M1426+M1441+M1447</f>
        <v>-29257.4</v>
      </c>
      <c r="N1342" s="49">
        <f t="shared" si="281"/>
        <v>315831.5</v>
      </c>
    </row>
    <row r="1343" spans="1:14" ht="33" x14ac:dyDescent="0.2">
      <c r="A1343" s="50" t="str">
        <f ca="1">IF(ISERROR(MATCH(B1343,Код_КЦСР,0)),"",INDIRECT(ADDRESS(MATCH(B1343,Код_КЦСР,0)+1,2,,,"КЦСР")))</f>
        <v>Руководство и управление в сфере установленных функций органов местного самоуправления</v>
      </c>
      <c r="B1343" s="79" t="s">
        <v>400</v>
      </c>
      <c r="C1343" s="65"/>
      <c r="D1343" s="46"/>
      <c r="E1343" s="26"/>
      <c r="F1343" s="62">
        <f>F1344+F1350</f>
        <v>169649.09999999998</v>
      </c>
      <c r="G1343" s="62">
        <f>G1344+G1350</f>
        <v>0</v>
      </c>
      <c r="H1343" s="49">
        <f t="shared" si="288"/>
        <v>169649.09999999998</v>
      </c>
      <c r="I1343" s="62">
        <f>I1344+I1350</f>
        <v>461.8</v>
      </c>
      <c r="J1343" s="49">
        <f t="shared" si="278"/>
        <v>170110.89999999997</v>
      </c>
      <c r="K1343" s="62">
        <f>K1344+K1350</f>
        <v>5958.2</v>
      </c>
      <c r="L1343" s="49">
        <f t="shared" si="290"/>
        <v>176069.09999999998</v>
      </c>
      <c r="M1343" s="62">
        <f>M1344+M1350</f>
        <v>0</v>
      </c>
      <c r="N1343" s="49">
        <f t="shared" si="281"/>
        <v>176069.09999999998</v>
      </c>
    </row>
    <row r="1344" spans="1:14" x14ac:dyDescent="0.2">
      <c r="A1344" s="50" t="str">
        <f ca="1">IF(ISERROR(MATCH(B1344,Код_КЦСР,0)),"",INDIRECT(ADDRESS(MATCH(B1344,Код_КЦСР,0)+1,2,,,"КЦСР")))</f>
        <v>Глава муниципального образования</v>
      </c>
      <c r="B1344" s="79" t="s">
        <v>401</v>
      </c>
      <c r="C1344" s="65"/>
      <c r="D1344" s="46"/>
      <c r="E1344" s="26"/>
      <c r="F1344" s="62">
        <f>F1345</f>
        <v>3346.5</v>
      </c>
      <c r="G1344" s="62">
        <f>G1345</f>
        <v>0</v>
      </c>
      <c r="H1344" s="49">
        <f t="shared" si="288"/>
        <v>3346.5</v>
      </c>
      <c r="I1344" s="62">
        <f>I1345</f>
        <v>0</v>
      </c>
      <c r="J1344" s="49">
        <f t="shared" si="278"/>
        <v>3346.5</v>
      </c>
      <c r="K1344" s="62">
        <f>K1345</f>
        <v>0</v>
      </c>
      <c r="L1344" s="49">
        <f t="shared" si="290"/>
        <v>3346.5</v>
      </c>
      <c r="M1344" s="62">
        <f>M1345</f>
        <v>0</v>
      </c>
      <c r="N1344" s="49">
        <f t="shared" si="281"/>
        <v>3346.5</v>
      </c>
    </row>
    <row r="1345" spans="1:14" x14ac:dyDescent="0.2">
      <c r="A1345" s="50" t="str">
        <f ca="1">IF(ISERROR(MATCH(B1345,Код_КЦСР,0)),"",INDIRECT(ADDRESS(MATCH(B1345,Код_КЦСР,0)+1,2,,,"КЦСР")))</f>
        <v>Расходы на обеспечение функций органов местного самоуправления</v>
      </c>
      <c r="B1345" s="79" t="s">
        <v>402</v>
      </c>
      <c r="C1345" s="65"/>
      <c r="D1345" s="46"/>
      <c r="E1345" s="26"/>
      <c r="F1345" s="62">
        <f t="shared" ref="F1345:M1347" si="292">F1346</f>
        <v>3346.5</v>
      </c>
      <c r="G1345" s="62">
        <f t="shared" si="292"/>
        <v>0</v>
      </c>
      <c r="H1345" s="49">
        <f t="shared" si="288"/>
        <v>3346.5</v>
      </c>
      <c r="I1345" s="62">
        <f t="shared" si="292"/>
        <v>0</v>
      </c>
      <c r="J1345" s="49">
        <f t="shared" si="278"/>
        <v>3346.5</v>
      </c>
      <c r="K1345" s="62">
        <f t="shared" si="292"/>
        <v>0</v>
      </c>
      <c r="L1345" s="49">
        <f t="shared" si="290"/>
        <v>3346.5</v>
      </c>
      <c r="M1345" s="62">
        <f t="shared" si="292"/>
        <v>0</v>
      </c>
      <c r="N1345" s="49">
        <f t="shared" si="281"/>
        <v>3346.5</v>
      </c>
    </row>
    <row r="1346" spans="1:14" x14ac:dyDescent="0.2">
      <c r="A1346" s="50" t="str">
        <f ca="1">IF(ISERROR(MATCH(C1346,Код_Раздел,0)),"",INDIRECT(ADDRESS(MATCH(C1346,Код_Раздел,0)+1,2,,,"Раздел")))</f>
        <v>Общегосударственные вопросы</v>
      </c>
      <c r="B1346" s="79" t="s">
        <v>402</v>
      </c>
      <c r="C1346" s="65" t="s">
        <v>70</v>
      </c>
      <c r="D1346" s="46"/>
      <c r="E1346" s="26"/>
      <c r="F1346" s="62">
        <f t="shared" si="292"/>
        <v>3346.5</v>
      </c>
      <c r="G1346" s="62">
        <f t="shared" si="292"/>
        <v>0</v>
      </c>
      <c r="H1346" s="49">
        <f t="shared" si="288"/>
        <v>3346.5</v>
      </c>
      <c r="I1346" s="62">
        <f t="shared" si="292"/>
        <v>0</v>
      </c>
      <c r="J1346" s="49">
        <f t="shared" si="278"/>
        <v>3346.5</v>
      </c>
      <c r="K1346" s="62">
        <f t="shared" si="292"/>
        <v>0</v>
      </c>
      <c r="L1346" s="49">
        <f t="shared" si="290"/>
        <v>3346.5</v>
      </c>
      <c r="M1346" s="62">
        <f t="shared" si="292"/>
        <v>0</v>
      </c>
      <c r="N1346" s="49">
        <f t="shared" si="281"/>
        <v>3346.5</v>
      </c>
    </row>
    <row r="1347" spans="1:14" ht="33" x14ac:dyDescent="0.2">
      <c r="A1347" s="48" t="s">
        <v>88</v>
      </c>
      <c r="B1347" s="79" t="s">
        <v>402</v>
      </c>
      <c r="C1347" s="65" t="s">
        <v>70</v>
      </c>
      <c r="D1347" s="46" t="s">
        <v>71</v>
      </c>
      <c r="E1347" s="26"/>
      <c r="F1347" s="62">
        <f t="shared" si="292"/>
        <v>3346.5</v>
      </c>
      <c r="G1347" s="62">
        <f t="shared" si="292"/>
        <v>0</v>
      </c>
      <c r="H1347" s="49">
        <f t="shared" si="288"/>
        <v>3346.5</v>
      </c>
      <c r="I1347" s="62">
        <f t="shared" si="292"/>
        <v>0</v>
      </c>
      <c r="J1347" s="49">
        <f t="shared" si="278"/>
        <v>3346.5</v>
      </c>
      <c r="K1347" s="62">
        <f t="shared" si="292"/>
        <v>0</v>
      </c>
      <c r="L1347" s="49">
        <f t="shared" si="290"/>
        <v>3346.5</v>
      </c>
      <c r="M1347" s="62">
        <f t="shared" si="292"/>
        <v>0</v>
      </c>
      <c r="N1347" s="49">
        <f t="shared" si="281"/>
        <v>3346.5</v>
      </c>
    </row>
    <row r="1348" spans="1:14" ht="49.5" x14ac:dyDescent="0.2">
      <c r="A1348" s="50" t="str">
        <f ca="1">IF(ISERROR(MATCH(E1348,Код_КВР,0)),"",INDIRECT(ADDRESS(MATCH(E1348,Код_КВР,0)+1,2,,,"КВР")))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48" s="79" t="s">
        <v>402</v>
      </c>
      <c r="C1348" s="65" t="s">
        <v>70</v>
      </c>
      <c r="D1348" s="65" t="s">
        <v>71</v>
      </c>
      <c r="E1348" s="26">
        <v>100</v>
      </c>
      <c r="F1348" s="62">
        <f t="shared" ref="F1348:M1348" si="293">F1349</f>
        <v>3346.5</v>
      </c>
      <c r="G1348" s="62">
        <f t="shared" si="293"/>
        <v>0</v>
      </c>
      <c r="H1348" s="49">
        <f t="shared" si="288"/>
        <v>3346.5</v>
      </c>
      <c r="I1348" s="62">
        <f t="shared" si="293"/>
        <v>0</v>
      </c>
      <c r="J1348" s="49">
        <f t="shared" ref="J1348:J1416" si="294">H1348+I1348</f>
        <v>3346.5</v>
      </c>
      <c r="K1348" s="62">
        <f t="shared" si="293"/>
        <v>0</v>
      </c>
      <c r="L1348" s="49">
        <f t="shared" si="290"/>
        <v>3346.5</v>
      </c>
      <c r="M1348" s="62">
        <f t="shared" si="293"/>
        <v>0</v>
      </c>
      <c r="N1348" s="49">
        <f t="shared" si="281"/>
        <v>3346.5</v>
      </c>
    </row>
    <row r="1349" spans="1:14" x14ac:dyDescent="0.2">
      <c r="A1349" s="50" t="str">
        <f ca="1">IF(ISERROR(MATCH(E1349,Код_КВР,0)),"",INDIRECT(ADDRESS(MATCH(E1349,Код_КВР,0)+1,2,,,"КВР")))</f>
        <v>Расходы на выплаты персоналу государственных (муниципальных) органов</v>
      </c>
      <c r="B1349" s="79" t="s">
        <v>402</v>
      </c>
      <c r="C1349" s="65" t="s">
        <v>70</v>
      </c>
      <c r="D1349" s="65" t="s">
        <v>71</v>
      </c>
      <c r="E1349" s="26">
        <v>120</v>
      </c>
      <c r="F1349" s="62">
        <f>'прил. 8'!G463</f>
        <v>3346.5</v>
      </c>
      <c r="G1349" s="62">
        <f>'прил. 8'!H463</f>
        <v>0</v>
      </c>
      <c r="H1349" s="49">
        <f t="shared" si="288"/>
        <v>3346.5</v>
      </c>
      <c r="I1349" s="62">
        <f>'прил. 8'!J463</f>
        <v>0</v>
      </c>
      <c r="J1349" s="49">
        <f t="shared" si="294"/>
        <v>3346.5</v>
      </c>
      <c r="K1349" s="62">
        <f>'прил. 8'!L463</f>
        <v>0</v>
      </c>
      <c r="L1349" s="49">
        <f t="shared" si="290"/>
        <v>3346.5</v>
      </c>
      <c r="M1349" s="62">
        <f>'прил. 8'!N463</f>
        <v>0</v>
      </c>
      <c r="N1349" s="49">
        <f t="shared" si="281"/>
        <v>3346.5</v>
      </c>
    </row>
    <row r="1350" spans="1:14" ht="36" customHeight="1" x14ac:dyDescent="0.2">
      <c r="A1350" s="50" t="str">
        <f ca="1">IF(ISERROR(MATCH(B1350,Код_КЦСР,0)),"",INDIRECT(ADDRESS(MATCH(B1350,Код_КЦСР,0)+1,2,,,"КЦСР")))</f>
        <v>Обеспечение деятельности исполнительных органов местного самоуправления</v>
      </c>
      <c r="B1350" s="79" t="s">
        <v>403</v>
      </c>
      <c r="C1350" s="65"/>
      <c r="D1350" s="46"/>
      <c r="E1350" s="26"/>
      <c r="F1350" s="62">
        <f>F1351+F1367+F1372+F1379+F1384</f>
        <v>166302.59999999998</v>
      </c>
      <c r="G1350" s="62">
        <f>G1351+G1367+G1372+G1379+G1384</f>
        <v>0</v>
      </c>
      <c r="H1350" s="49">
        <f t="shared" si="288"/>
        <v>166302.59999999998</v>
      </c>
      <c r="I1350" s="62">
        <f>I1351+I1367+I1372+I1379+I1384+I1389</f>
        <v>461.8</v>
      </c>
      <c r="J1350" s="49">
        <f t="shared" si="294"/>
        <v>166764.39999999997</v>
      </c>
      <c r="K1350" s="62">
        <f>K1351+K1367+K1372+K1379+K1384+K1389+K1394</f>
        <v>5958.2</v>
      </c>
      <c r="L1350" s="49">
        <f t="shared" si="290"/>
        <v>172722.59999999998</v>
      </c>
      <c r="M1350" s="62">
        <f>M1351+M1367+M1372+M1379+M1384+M1389+M1394</f>
        <v>0</v>
      </c>
      <c r="N1350" s="49">
        <f t="shared" si="281"/>
        <v>172722.59999999998</v>
      </c>
    </row>
    <row r="1351" spans="1:14" x14ac:dyDescent="0.2">
      <c r="A1351" s="50" t="str">
        <f ca="1">IF(ISERROR(MATCH(B1351,Код_КЦСР,0)),"",INDIRECT(ADDRESS(MATCH(B1351,Код_КЦСР,0)+1,2,,,"КЦСР")))</f>
        <v>Расходы на обеспечение функций органов местного самоуправления</v>
      </c>
      <c r="B1351" s="79" t="s">
        <v>405</v>
      </c>
      <c r="C1351" s="65"/>
      <c r="D1351" s="46"/>
      <c r="E1351" s="26"/>
      <c r="F1351" s="62">
        <f>F1352+F1363</f>
        <v>163914.69999999998</v>
      </c>
      <c r="G1351" s="62">
        <f>G1352+G1363</f>
        <v>0</v>
      </c>
      <c r="H1351" s="49">
        <f t="shared" si="288"/>
        <v>163914.69999999998</v>
      </c>
      <c r="I1351" s="62">
        <f>I1352+I1363</f>
        <v>0</v>
      </c>
      <c r="J1351" s="49">
        <f t="shared" si="294"/>
        <v>163914.69999999998</v>
      </c>
      <c r="K1351" s="62">
        <f>K1352+K1363</f>
        <v>0</v>
      </c>
      <c r="L1351" s="49">
        <f t="shared" si="290"/>
        <v>163914.69999999998</v>
      </c>
      <c r="M1351" s="62">
        <f>M1352+M1363</f>
        <v>0</v>
      </c>
      <c r="N1351" s="49">
        <f t="shared" si="281"/>
        <v>163914.69999999998</v>
      </c>
    </row>
    <row r="1352" spans="1:14" x14ac:dyDescent="0.2">
      <c r="A1352" s="50" t="str">
        <f ca="1">IF(ISERROR(MATCH(C1352,Код_Раздел,0)),"",INDIRECT(ADDRESS(MATCH(C1352,Код_Раздел,0)+1,2,,,"Раздел")))</f>
        <v>Общегосударственные вопросы</v>
      </c>
      <c r="B1352" s="79" t="s">
        <v>405</v>
      </c>
      <c r="C1352" s="65" t="s">
        <v>70</v>
      </c>
      <c r="D1352" s="46"/>
      <c r="E1352" s="26"/>
      <c r="F1352" s="62">
        <f>F1353+F1358</f>
        <v>163856.19999999998</v>
      </c>
      <c r="G1352" s="62">
        <f>G1353+G1358</f>
        <v>0</v>
      </c>
      <c r="H1352" s="49">
        <f t="shared" si="288"/>
        <v>163856.19999999998</v>
      </c>
      <c r="I1352" s="62">
        <f>I1353+I1358</f>
        <v>0</v>
      </c>
      <c r="J1352" s="49">
        <f t="shared" si="294"/>
        <v>163856.19999999998</v>
      </c>
      <c r="K1352" s="62">
        <f>K1353+K1358</f>
        <v>0</v>
      </c>
      <c r="L1352" s="49">
        <f t="shared" si="290"/>
        <v>163856.19999999998</v>
      </c>
      <c r="M1352" s="62">
        <f>M1353+M1358</f>
        <v>0</v>
      </c>
      <c r="N1352" s="49">
        <f t="shared" si="281"/>
        <v>163856.19999999998</v>
      </c>
    </row>
    <row r="1353" spans="1:14" ht="49.5" x14ac:dyDescent="0.2">
      <c r="A1353" s="50" t="s">
        <v>90</v>
      </c>
      <c r="B1353" s="79" t="s">
        <v>405</v>
      </c>
      <c r="C1353" s="65" t="s">
        <v>70</v>
      </c>
      <c r="D1353" s="65" t="s">
        <v>73</v>
      </c>
      <c r="E1353" s="26"/>
      <c r="F1353" s="62">
        <f>F1354+F1356</f>
        <v>135885.29999999999</v>
      </c>
      <c r="G1353" s="62">
        <f>G1354+G1356</f>
        <v>0</v>
      </c>
      <c r="H1353" s="49">
        <f t="shared" si="288"/>
        <v>135885.29999999999</v>
      </c>
      <c r="I1353" s="62">
        <f>I1354+I1356</f>
        <v>0</v>
      </c>
      <c r="J1353" s="49">
        <f t="shared" si="294"/>
        <v>135885.29999999999</v>
      </c>
      <c r="K1353" s="62">
        <f>K1354+K1356</f>
        <v>0</v>
      </c>
      <c r="L1353" s="49">
        <f t="shared" si="290"/>
        <v>135885.29999999999</v>
      </c>
      <c r="M1353" s="62">
        <f>M1354+M1356</f>
        <v>0</v>
      </c>
      <c r="N1353" s="49">
        <f t="shared" si="281"/>
        <v>135885.29999999999</v>
      </c>
    </row>
    <row r="1354" spans="1:14" ht="60.75" customHeight="1" x14ac:dyDescent="0.2">
      <c r="A1354" s="50" t="str">
        <f t="shared" ref="A1354:A1370" ca="1" si="295">IF(ISERROR(MATCH(E1354,Код_КВР,0)),"",INDIRECT(ADDRESS(MATCH(E1354,Код_КВР,0)+1,2,,,"КВР")))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54" s="79" t="s">
        <v>405</v>
      </c>
      <c r="C1354" s="65" t="s">
        <v>70</v>
      </c>
      <c r="D1354" s="65" t="s">
        <v>73</v>
      </c>
      <c r="E1354" s="26">
        <v>100</v>
      </c>
      <c r="F1354" s="62">
        <f>F1355</f>
        <v>132053.9</v>
      </c>
      <c r="G1354" s="62">
        <f>G1355</f>
        <v>0</v>
      </c>
      <c r="H1354" s="49">
        <f t="shared" si="288"/>
        <v>132053.9</v>
      </c>
      <c r="I1354" s="62">
        <f>I1355</f>
        <v>0</v>
      </c>
      <c r="J1354" s="49">
        <f t="shared" si="294"/>
        <v>132053.9</v>
      </c>
      <c r="K1354" s="62">
        <f>K1355</f>
        <v>0</v>
      </c>
      <c r="L1354" s="49">
        <f t="shared" si="290"/>
        <v>132053.9</v>
      </c>
      <c r="M1354" s="62">
        <f>M1355</f>
        <v>0</v>
      </c>
      <c r="N1354" s="49">
        <f t="shared" si="281"/>
        <v>132053.9</v>
      </c>
    </row>
    <row r="1355" spans="1:14" x14ac:dyDescent="0.2">
      <c r="A1355" s="50" t="str">
        <f t="shared" ca="1" si="295"/>
        <v>Расходы на выплаты персоналу государственных (муниципальных) органов</v>
      </c>
      <c r="B1355" s="79" t="s">
        <v>405</v>
      </c>
      <c r="C1355" s="65" t="s">
        <v>70</v>
      </c>
      <c r="D1355" s="65" t="s">
        <v>73</v>
      </c>
      <c r="E1355" s="26">
        <v>120</v>
      </c>
      <c r="F1355" s="62">
        <f>'прил. 8'!G26</f>
        <v>132053.9</v>
      </c>
      <c r="G1355" s="62">
        <f>'прил. 8'!H26</f>
        <v>0</v>
      </c>
      <c r="H1355" s="49">
        <f t="shared" si="288"/>
        <v>132053.9</v>
      </c>
      <c r="I1355" s="62">
        <f>'прил. 8'!J26</f>
        <v>0</v>
      </c>
      <c r="J1355" s="49">
        <f t="shared" si="294"/>
        <v>132053.9</v>
      </c>
      <c r="K1355" s="62">
        <f>'прил. 8'!L26</f>
        <v>0</v>
      </c>
      <c r="L1355" s="49">
        <f t="shared" si="290"/>
        <v>132053.9</v>
      </c>
      <c r="M1355" s="62">
        <f>'прил. 8'!N26</f>
        <v>0</v>
      </c>
      <c r="N1355" s="49">
        <f t="shared" si="281"/>
        <v>132053.9</v>
      </c>
    </row>
    <row r="1356" spans="1:14" ht="33" x14ac:dyDescent="0.2">
      <c r="A1356" s="50" t="str">
        <f t="shared" ca="1" si="295"/>
        <v>Закупка товаров, работ и услуг для обеспечения государственных (муниципальных) нужд</v>
      </c>
      <c r="B1356" s="79" t="s">
        <v>405</v>
      </c>
      <c r="C1356" s="65" t="s">
        <v>70</v>
      </c>
      <c r="D1356" s="65" t="s">
        <v>73</v>
      </c>
      <c r="E1356" s="26">
        <v>200</v>
      </c>
      <c r="F1356" s="62">
        <f>F1357</f>
        <v>3831.4</v>
      </c>
      <c r="G1356" s="62">
        <f>G1357</f>
        <v>0</v>
      </c>
      <c r="H1356" s="49">
        <f t="shared" si="288"/>
        <v>3831.4</v>
      </c>
      <c r="I1356" s="62">
        <f>I1357</f>
        <v>0</v>
      </c>
      <c r="J1356" s="49">
        <f t="shared" si="294"/>
        <v>3831.4</v>
      </c>
      <c r="K1356" s="62">
        <f>K1357</f>
        <v>0</v>
      </c>
      <c r="L1356" s="49">
        <f t="shared" si="290"/>
        <v>3831.4</v>
      </c>
      <c r="M1356" s="62">
        <f>M1357</f>
        <v>0</v>
      </c>
      <c r="N1356" s="49">
        <f t="shared" si="281"/>
        <v>3831.4</v>
      </c>
    </row>
    <row r="1357" spans="1:14" ht="33" x14ac:dyDescent="0.2">
      <c r="A1357" s="50" t="str">
        <f t="shared" ca="1" si="295"/>
        <v>Иные закупки товаров, работ и услуг для обеспечения государственных (муниципальных) нужд</v>
      </c>
      <c r="B1357" s="79" t="s">
        <v>405</v>
      </c>
      <c r="C1357" s="65" t="s">
        <v>70</v>
      </c>
      <c r="D1357" s="65" t="s">
        <v>73</v>
      </c>
      <c r="E1357" s="26">
        <v>240</v>
      </c>
      <c r="F1357" s="62">
        <f>'прил. 8'!G28</f>
        <v>3831.4</v>
      </c>
      <c r="G1357" s="62">
        <f>'прил. 8'!H28</f>
        <v>0</v>
      </c>
      <c r="H1357" s="49">
        <f t="shared" si="288"/>
        <v>3831.4</v>
      </c>
      <c r="I1357" s="62">
        <f>'прил. 8'!J28</f>
        <v>0</v>
      </c>
      <c r="J1357" s="49">
        <f t="shared" si="294"/>
        <v>3831.4</v>
      </c>
      <c r="K1357" s="62">
        <f>'прил. 8'!L28</f>
        <v>0</v>
      </c>
      <c r="L1357" s="49">
        <f t="shared" si="290"/>
        <v>3831.4</v>
      </c>
      <c r="M1357" s="62">
        <f>'прил. 8'!N28</f>
        <v>0</v>
      </c>
      <c r="N1357" s="49">
        <f t="shared" si="281"/>
        <v>3831.4</v>
      </c>
    </row>
    <row r="1358" spans="1:14" ht="33" x14ac:dyDescent="0.2">
      <c r="A1358" s="45" t="s">
        <v>36</v>
      </c>
      <c r="B1358" s="79" t="s">
        <v>405</v>
      </c>
      <c r="C1358" s="65" t="s">
        <v>70</v>
      </c>
      <c r="D1358" s="65" t="s">
        <v>74</v>
      </c>
      <c r="E1358" s="26"/>
      <c r="F1358" s="62">
        <f>F1359+F1361</f>
        <v>27970.899999999998</v>
      </c>
      <c r="G1358" s="62">
        <f>G1359+G1361</f>
        <v>0</v>
      </c>
      <c r="H1358" s="49">
        <f t="shared" si="288"/>
        <v>27970.899999999998</v>
      </c>
      <c r="I1358" s="62">
        <f>I1359+I1361</f>
        <v>0</v>
      </c>
      <c r="J1358" s="49">
        <f t="shared" si="294"/>
        <v>27970.899999999998</v>
      </c>
      <c r="K1358" s="62">
        <f>K1359+K1361</f>
        <v>0</v>
      </c>
      <c r="L1358" s="49">
        <f t="shared" si="290"/>
        <v>27970.899999999998</v>
      </c>
      <c r="M1358" s="62">
        <f>M1359+M1361</f>
        <v>0</v>
      </c>
      <c r="N1358" s="49">
        <f t="shared" si="281"/>
        <v>27970.899999999998</v>
      </c>
    </row>
    <row r="1359" spans="1:14" ht="54.75" customHeight="1" x14ac:dyDescent="0.2">
      <c r="A1359" s="50" t="str">
        <f t="shared" ca="1" si="29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59" s="79" t="s">
        <v>405</v>
      </c>
      <c r="C1359" s="65" t="s">
        <v>70</v>
      </c>
      <c r="D1359" s="65" t="s">
        <v>74</v>
      </c>
      <c r="E1359" s="26">
        <v>100</v>
      </c>
      <c r="F1359" s="62">
        <f>F1360</f>
        <v>27941.8</v>
      </c>
      <c r="G1359" s="62">
        <f>G1360</f>
        <v>0</v>
      </c>
      <c r="H1359" s="49">
        <f t="shared" si="288"/>
        <v>27941.8</v>
      </c>
      <c r="I1359" s="62">
        <f>I1360</f>
        <v>0</v>
      </c>
      <c r="J1359" s="49">
        <f t="shared" si="294"/>
        <v>27941.8</v>
      </c>
      <c r="K1359" s="62">
        <f>K1360</f>
        <v>0</v>
      </c>
      <c r="L1359" s="49">
        <f t="shared" si="290"/>
        <v>27941.8</v>
      </c>
      <c r="M1359" s="62">
        <f>M1360</f>
        <v>0</v>
      </c>
      <c r="N1359" s="49">
        <f t="shared" si="281"/>
        <v>27941.8</v>
      </c>
    </row>
    <row r="1360" spans="1:14" x14ac:dyDescent="0.2">
      <c r="A1360" s="50" t="str">
        <f t="shared" ca="1" si="295"/>
        <v>Расходы на выплаты персоналу государственных (муниципальных) органов</v>
      </c>
      <c r="B1360" s="79" t="s">
        <v>405</v>
      </c>
      <c r="C1360" s="65" t="s">
        <v>70</v>
      </c>
      <c r="D1360" s="65" t="s">
        <v>74</v>
      </c>
      <c r="E1360" s="26">
        <v>120</v>
      </c>
      <c r="F1360" s="62">
        <f>'прил. 8'!G902</f>
        <v>27941.8</v>
      </c>
      <c r="G1360" s="62">
        <f>'прил. 8'!H902</f>
        <v>0</v>
      </c>
      <c r="H1360" s="49">
        <f t="shared" si="288"/>
        <v>27941.8</v>
      </c>
      <c r="I1360" s="62">
        <f>'прил. 8'!J902</f>
        <v>0</v>
      </c>
      <c r="J1360" s="49">
        <f t="shared" si="294"/>
        <v>27941.8</v>
      </c>
      <c r="K1360" s="62">
        <f>'прил. 8'!L902</f>
        <v>0</v>
      </c>
      <c r="L1360" s="49">
        <f t="shared" si="290"/>
        <v>27941.8</v>
      </c>
      <c r="M1360" s="62">
        <f>'прил. 8'!N902</f>
        <v>0</v>
      </c>
      <c r="N1360" s="49">
        <f t="shared" si="281"/>
        <v>27941.8</v>
      </c>
    </row>
    <row r="1361" spans="1:14" ht="33" x14ac:dyDescent="0.2">
      <c r="A1361" s="50" t="str">
        <f t="shared" ca="1" si="295"/>
        <v>Закупка товаров, работ и услуг для обеспечения государственных (муниципальных) нужд</v>
      </c>
      <c r="B1361" s="79" t="s">
        <v>405</v>
      </c>
      <c r="C1361" s="65" t="s">
        <v>70</v>
      </c>
      <c r="D1361" s="65" t="s">
        <v>74</v>
      </c>
      <c r="E1361" s="26">
        <v>200</v>
      </c>
      <c r="F1361" s="62">
        <f>F1362</f>
        <v>29.1</v>
      </c>
      <c r="G1361" s="62">
        <f>G1362</f>
        <v>0</v>
      </c>
      <c r="H1361" s="49">
        <f t="shared" si="288"/>
        <v>29.1</v>
      </c>
      <c r="I1361" s="62">
        <f>I1362</f>
        <v>0</v>
      </c>
      <c r="J1361" s="49">
        <f t="shared" si="294"/>
        <v>29.1</v>
      </c>
      <c r="K1361" s="62">
        <f>K1362</f>
        <v>0</v>
      </c>
      <c r="L1361" s="49">
        <f t="shared" si="290"/>
        <v>29.1</v>
      </c>
      <c r="M1361" s="62">
        <f>M1362</f>
        <v>0</v>
      </c>
      <c r="N1361" s="49">
        <f t="shared" si="281"/>
        <v>29.1</v>
      </c>
    </row>
    <row r="1362" spans="1:14" ht="33" x14ac:dyDescent="0.2">
      <c r="A1362" s="50" t="str">
        <f t="shared" ca="1" si="295"/>
        <v>Иные закупки товаров, работ и услуг для обеспечения государственных (муниципальных) нужд</v>
      </c>
      <c r="B1362" s="79" t="s">
        <v>405</v>
      </c>
      <c r="C1362" s="65" t="s">
        <v>70</v>
      </c>
      <c r="D1362" s="65" t="s">
        <v>74</v>
      </c>
      <c r="E1362" s="26">
        <v>240</v>
      </c>
      <c r="F1362" s="62">
        <f>'прил. 8'!G904</f>
        <v>29.1</v>
      </c>
      <c r="G1362" s="62">
        <f>'прил. 8'!H904</f>
        <v>0</v>
      </c>
      <c r="H1362" s="49">
        <f t="shared" si="288"/>
        <v>29.1</v>
      </c>
      <c r="I1362" s="62">
        <f>'прил. 8'!J904</f>
        <v>0</v>
      </c>
      <c r="J1362" s="49">
        <f t="shared" si="294"/>
        <v>29.1</v>
      </c>
      <c r="K1362" s="62">
        <f>'прил. 8'!L904</f>
        <v>0</v>
      </c>
      <c r="L1362" s="49">
        <f t="shared" si="290"/>
        <v>29.1</v>
      </c>
      <c r="M1362" s="62">
        <f>'прил. 8'!N904</f>
        <v>0</v>
      </c>
      <c r="N1362" s="49">
        <f t="shared" ref="N1362:N1425" si="296">L1362+M1362</f>
        <v>29.1</v>
      </c>
    </row>
    <row r="1363" spans="1:14" x14ac:dyDescent="0.2">
      <c r="A1363" s="50" t="str">
        <f ca="1">IF(ISERROR(MATCH(C1363,Код_Раздел,0)),"",INDIRECT(ADDRESS(MATCH(C1363,Код_Раздел,0)+1,2,,,"Раздел")))</f>
        <v>Образование</v>
      </c>
      <c r="B1363" s="79" t="s">
        <v>405</v>
      </c>
      <c r="C1363" s="65" t="s">
        <v>60</v>
      </c>
      <c r="D1363" s="46"/>
      <c r="E1363" s="26"/>
      <c r="F1363" s="62">
        <f t="shared" ref="F1363:M1365" si="297">F1364</f>
        <v>58.5</v>
      </c>
      <c r="G1363" s="62">
        <f t="shared" si="297"/>
        <v>0</v>
      </c>
      <c r="H1363" s="49">
        <f t="shared" si="288"/>
        <v>58.5</v>
      </c>
      <c r="I1363" s="62">
        <f t="shared" si="297"/>
        <v>0</v>
      </c>
      <c r="J1363" s="49">
        <f t="shared" si="294"/>
        <v>58.5</v>
      </c>
      <c r="K1363" s="62">
        <f t="shared" si="297"/>
        <v>0</v>
      </c>
      <c r="L1363" s="49">
        <f t="shared" si="290"/>
        <v>58.5</v>
      </c>
      <c r="M1363" s="62">
        <f t="shared" si="297"/>
        <v>0</v>
      </c>
      <c r="N1363" s="49">
        <f t="shared" si="296"/>
        <v>58.5</v>
      </c>
    </row>
    <row r="1364" spans="1:14" x14ac:dyDescent="0.2">
      <c r="A1364" s="45" t="s">
        <v>532</v>
      </c>
      <c r="B1364" s="79" t="s">
        <v>405</v>
      </c>
      <c r="C1364" s="65" t="s">
        <v>60</v>
      </c>
      <c r="D1364" s="65" t="s">
        <v>78</v>
      </c>
      <c r="E1364" s="26"/>
      <c r="F1364" s="62">
        <f t="shared" si="297"/>
        <v>58.5</v>
      </c>
      <c r="G1364" s="62">
        <f t="shared" si="297"/>
        <v>0</v>
      </c>
      <c r="H1364" s="49">
        <f t="shared" si="288"/>
        <v>58.5</v>
      </c>
      <c r="I1364" s="62">
        <f t="shared" si="297"/>
        <v>0</v>
      </c>
      <c r="J1364" s="49">
        <f t="shared" si="294"/>
        <v>58.5</v>
      </c>
      <c r="K1364" s="62">
        <f t="shared" si="297"/>
        <v>0</v>
      </c>
      <c r="L1364" s="49">
        <f t="shared" si="290"/>
        <v>58.5</v>
      </c>
      <c r="M1364" s="62">
        <f t="shared" si="297"/>
        <v>0</v>
      </c>
      <c r="N1364" s="49">
        <f t="shared" si="296"/>
        <v>58.5</v>
      </c>
    </row>
    <row r="1365" spans="1:14" ht="33" x14ac:dyDescent="0.2">
      <c r="A1365" s="50" t="str">
        <f t="shared" ref="A1365:A1366" ca="1" si="298">IF(ISERROR(MATCH(E1365,Код_КВР,0)),"",INDIRECT(ADDRESS(MATCH(E1365,Код_КВР,0)+1,2,,,"КВР")))</f>
        <v>Закупка товаров, работ и услуг для обеспечения государственных (муниципальных) нужд</v>
      </c>
      <c r="B1365" s="79" t="s">
        <v>405</v>
      </c>
      <c r="C1365" s="65" t="s">
        <v>60</v>
      </c>
      <c r="D1365" s="65" t="s">
        <v>78</v>
      </c>
      <c r="E1365" s="26">
        <v>200</v>
      </c>
      <c r="F1365" s="62">
        <f t="shared" si="297"/>
        <v>58.5</v>
      </c>
      <c r="G1365" s="62">
        <f t="shared" si="297"/>
        <v>0</v>
      </c>
      <c r="H1365" s="49">
        <f t="shared" si="288"/>
        <v>58.5</v>
      </c>
      <c r="I1365" s="62">
        <f t="shared" si="297"/>
        <v>0</v>
      </c>
      <c r="J1365" s="49">
        <f t="shared" si="294"/>
        <v>58.5</v>
      </c>
      <c r="K1365" s="62">
        <f t="shared" si="297"/>
        <v>0</v>
      </c>
      <c r="L1365" s="49">
        <f t="shared" si="290"/>
        <v>58.5</v>
      </c>
      <c r="M1365" s="62">
        <f t="shared" si="297"/>
        <v>0</v>
      </c>
      <c r="N1365" s="49">
        <f t="shared" si="296"/>
        <v>58.5</v>
      </c>
    </row>
    <row r="1366" spans="1:14" ht="33" x14ac:dyDescent="0.2">
      <c r="A1366" s="50" t="str">
        <f t="shared" ca="1" si="298"/>
        <v>Иные закупки товаров, работ и услуг для обеспечения государственных (муниципальных) нужд</v>
      </c>
      <c r="B1366" s="79" t="s">
        <v>405</v>
      </c>
      <c r="C1366" s="65" t="s">
        <v>60</v>
      </c>
      <c r="D1366" s="65" t="s">
        <v>78</v>
      </c>
      <c r="E1366" s="26">
        <v>240</v>
      </c>
      <c r="F1366" s="62">
        <f>'прил. 8'!G933</f>
        <v>58.5</v>
      </c>
      <c r="G1366" s="62">
        <f>'прил. 8'!H933</f>
        <v>0</v>
      </c>
      <c r="H1366" s="49">
        <f t="shared" si="288"/>
        <v>58.5</v>
      </c>
      <c r="I1366" s="62">
        <f>'прил. 8'!J933</f>
        <v>0</v>
      </c>
      <c r="J1366" s="49">
        <f t="shared" si="294"/>
        <v>58.5</v>
      </c>
      <c r="K1366" s="62">
        <f>'прил. 8'!L933</f>
        <v>0</v>
      </c>
      <c r="L1366" s="49">
        <f t="shared" si="290"/>
        <v>58.5</v>
      </c>
      <c r="M1366" s="62">
        <f>'прил. 8'!N933</f>
        <v>0</v>
      </c>
      <c r="N1366" s="49">
        <f t="shared" si="296"/>
        <v>58.5</v>
      </c>
    </row>
    <row r="1367" spans="1:14" ht="49.5" x14ac:dyDescent="0.2">
      <c r="A1367" s="50" t="str">
        <f ca="1">IF(ISERROR(MATCH(B1367,Код_КЦСР,0)),"",INDIRECT(ADDRESS(MATCH(B1367,Код_КЦСР,0)+1,2,,,"КЦСР")))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1367" s="79" t="s">
        <v>525</v>
      </c>
      <c r="C1367" s="65"/>
      <c r="D1367" s="65"/>
      <c r="E1367" s="26"/>
      <c r="F1367" s="62">
        <f t="shared" ref="F1367:M1370" si="299">F1368</f>
        <v>186</v>
      </c>
      <c r="G1367" s="62">
        <f t="shared" si="299"/>
        <v>0</v>
      </c>
      <c r="H1367" s="49">
        <f t="shared" si="288"/>
        <v>186</v>
      </c>
      <c r="I1367" s="62">
        <f t="shared" si="299"/>
        <v>0</v>
      </c>
      <c r="J1367" s="49">
        <f t="shared" si="294"/>
        <v>186</v>
      </c>
      <c r="K1367" s="62">
        <f t="shared" si="299"/>
        <v>0</v>
      </c>
      <c r="L1367" s="49">
        <f t="shared" si="290"/>
        <v>186</v>
      </c>
      <c r="M1367" s="62">
        <f t="shared" si="299"/>
        <v>0</v>
      </c>
      <c r="N1367" s="49">
        <f t="shared" si="296"/>
        <v>186</v>
      </c>
    </row>
    <row r="1368" spans="1:14" x14ac:dyDescent="0.2">
      <c r="A1368" s="50" t="str">
        <f ca="1">IF(ISERROR(MATCH(C1368,Код_Раздел,0)),"",INDIRECT(ADDRESS(MATCH(C1368,Код_Раздел,0)+1,2,,,"Раздел")))</f>
        <v>Общегосударственные вопросы</v>
      </c>
      <c r="B1368" s="79" t="s">
        <v>525</v>
      </c>
      <c r="C1368" s="65" t="s">
        <v>70</v>
      </c>
      <c r="D1368" s="65"/>
      <c r="E1368" s="26"/>
      <c r="F1368" s="62">
        <f t="shared" si="299"/>
        <v>186</v>
      </c>
      <c r="G1368" s="62">
        <f t="shared" si="299"/>
        <v>0</v>
      </c>
      <c r="H1368" s="49">
        <f t="shared" si="288"/>
        <v>186</v>
      </c>
      <c r="I1368" s="62">
        <f t="shared" si="299"/>
        <v>0</v>
      </c>
      <c r="J1368" s="49">
        <f t="shared" si="294"/>
        <v>186</v>
      </c>
      <c r="K1368" s="62">
        <f t="shared" si="299"/>
        <v>0</v>
      </c>
      <c r="L1368" s="49">
        <f t="shared" si="290"/>
        <v>186</v>
      </c>
      <c r="M1368" s="62">
        <f t="shared" si="299"/>
        <v>0</v>
      </c>
      <c r="N1368" s="49">
        <f t="shared" si="296"/>
        <v>186</v>
      </c>
    </row>
    <row r="1369" spans="1:14" x14ac:dyDescent="0.2">
      <c r="A1369" s="50" t="s">
        <v>526</v>
      </c>
      <c r="B1369" s="79" t="s">
        <v>525</v>
      </c>
      <c r="C1369" s="65" t="s">
        <v>70</v>
      </c>
      <c r="D1369" s="65" t="s">
        <v>78</v>
      </c>
      <c r="E1369" s="26"/>
      <c r="F1369" s="62">
        <f t="shared" si="299"/>
        <v>186</v>
      </c>
      <c r="G1369" s="62">
        <f t="shared" si="299"/>
        <v>0</v>
      </c>
      <c r="H1369" s="49">
        <f t="shared" si="288"/>
        <v>186</v>
      </c>
      <c r="I1369" s="62">
        <f t="shared" si="299"/>
        <v>0</v>
      </c>
      <c r="J1369" s="49">
        <f t="shared" si="294"/>
        <v>186</v>
      </c>
      <c r="K1369" s="62">
        <f t="shared" si="299"/>
        <v>0</v>
      </c>
      <c r="L1369" s="49">
        <f t="shared" si="290"/>
        <v>186</v>
      </c>
      <c r="M1369" s="62">
        <f t="shared" si="299"/>
        <v>0</v>
      </c>
      <c r="N1369" s="49">
        <f t="shared" si="296"/>
        <v>186</v>
      </c>
    </row>
    <row r="1370" spans="1:14" ht="33" x14ac:dyDescent="0.2">
      <c r="A1370" s="50" t="str">
        <f t="shared" ca="1" si="295"/>
        <v>Закупка товаров, работ и услуг для обеспечения государственных (муниципальных) нужд</v>
      </c>
      <c r="B1370" s="79" t="s">
        <v>525</v>
      </c>
      <c r="C1370" s="65" t="s">
        <v>70</v>
      </c>
      <c r="D1370" s="65" t="s">
        <v>78</v>
      </c>
      <c r="E1370" s="26">
        <v>200</v>
      </c>
      <c r="F1370" s="62">
        <f t="shared" si="299"/>
        <v>186</v>
      </c>
      <c r="G1370" s="62">
        <f t="shared" si="299"/>
        <v>0</v>
      </c>
      <c r="H1370" s="49">
        <f t="shared" si="288"/>
        <v>186</v>
      </c>
      <c r="I1370" s="62">
        <f t="shared" si="299"/>
        <v>0</v>
      </c>
      <c r="J1370" s="49">
        <f t="shared" si="294"/>
        <v>186</v>
      </c>
      <c r="K1370" s="62">
        <f t="shared" si="299"/>
        <v>0</v>
      </c>
      <c r="L1370" s="49">
        <f t="shared" si="290"/>
        <v>186</v>
      </c>
      <c r="M1370" s="62">
        <f t="shared" si="299"/>
        <v>0</v>
      </c>
      <c r="N1370" s="49">
        <f t="shared" si="296"/>
        <v>186</v>
      </c>
    </row>
    <row r="1371" spans="1:14" ht="33" x14ac:dyDescent="0.2">
      <c r="A1371" s="50" t="str">
        <f t="shared" ref="A1371" ca="1" si="300">IF(ISERROR(MATCH(E1371,Код_КВР,0)),"",INDIRECT(ADDRESS(MATCH(E1371,Код_КВР,0)+1,2,,,"КВР")))</f>
        <v>Иные закупки товаров, работ и услуг для обеспечения государственных (муниципальных) нужд</v>
      </c>
      <c r="B1371" s="79" t="s">
        <v>525</v>
      </c>
      <c r="C1371" s="65" t="s">
        <v>70</v>
      </c>
      <c r="D1371" s="65" t="s">
        <v>78</v>
      </c>
      <c r="E1371" s="26">
        <v>240</v>
      </c>
      <c r="F1371" s="62">
        <f>'прил. 8'!G43</f>
        <v>186</v>
      </c>
      <c r="G1371" s="62">
        <f>'прил. 8'!H43</f>
        <v>0</v>
      </c>
      <c r="H1371" s="49">
        <f t="shared" si="288"/>
        <v>186</v>
      </c>
      <c r="I1371" s="62">
        <f>'прил. 8'!J43</f>
        <v>0</v>
      </c>
      <c r="J1371" s="49">
        <f t="shared" si="294"/>
        <v>186</v>
      </c>
      <c r="K1371" s="62">
        <f>'прил. 8'!L43</f>
        <v>0</v>
      </c>
      <c r="L1371" s="49">
        <f t="shared" si="290"/>
        <v>186</v>
      </c>
      <c r="M1371" s="62">
        <f>'прил. 8'!N43</f>
        <v>0</v>
      </c>
      <c r="N1371" s="49">
        <f t="shared" si="296"/>
        <v>186</v>
      </c>
    </row>
    <row r="1372" spans="1:14" ht="92.25" customHeight="1" x14ac:dyDescent="0.2">
      <c r="A1372" s="50" t="str">
        <f ca="1">IF(ISERROR(MATCH(B1372,Код_КЦСР,0)),"",INDIRECT(ADDRESS(MATCH(B1372,Код_КЦСР,0)+1,2,,,"КЦСР")))</f>
        <v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отношений», за счет средств областного бюджета</v>
      </c>
      <c r="B1372" s="79" t="s">
        <v>428</v>
      </c>
      <c r="C1372" s="65"/>
      <c r="D1372" s="65"/>
      <c r="E1372" s="26"/>
      <c r="F1372" s="62">
        <f t="shared" ref="F1372:M1373" si="301">F1373</f>
        <v>1970</v>
      </c>
      <c r="G1372" s="62">
        <f t="shared" si="301"/>
        <v>0</v>
      </c>
      <c r="H1372" s="49">
        <f t="shared" si="288"/>
        <v>1970</v>
      </c>
      <c r="I1372" s="62">
        <f t="shared" si="301"/>
        <v>0</v>
      </c>
      <c r="J1372" s="49">
        <f t="shared" si="294"/>
        <v>1970</v>
      </c>
      <c r="K1372" s="62">
        <f t="shared" si="301"/>
        <v>0</v>
      </c>
      <c r="L1372" s="49">
        <f t="shared" si="290"/>
        <v>1970</v>
      </c>
      <c r="M1372" s="62">
        <f t="shared" si="301"/>
        <v>0</v>
      </c>
      <c r="N1372" s="49">
        <f t="shared" si="296"/>
        <v>1970</v>
      </c>
    </row>
    <row r="1373" spans="1:14" ht="23.25" customHeight="1" x14ac:dyDescent="0.2">
      <c r="A1373" s="50" t="str">
        <f ca="1">IF(ISERROR(MATCH(C1373,Код_Раздел,0)),"",INDIRECT(ADDRESS(MATCH(C1373,Код_Раздел,0)+1,2,,,"Раздел")))</f>
        <v>Общегосударственные вопросы</v>
      </c>
      <c r="B1373" s="79" t="s">
        <v>428</v>
      </c>
      <c r="C1373" s="65" t="s">
        <v>70</v>
      </c>
      <c r="D1373" s="65"/>
      <c r="E1373" s="26"/>
      <c r="F1373" s="62">
        <f t="shared" si="301"/>
        <v>1970</v>
      </c>
      <c r="G1373" s="62">
        <f t="shared" si="301"/>
        <v>0</v>
      </c>
      <c r="H1373" s="49">
        <f t="shared" si="288"/>
        <v>1970</v>
      </c>
      <c r="I1373" s="62">
        <f t="shared" si="301"/>
        <v>0</v>
      </c>
      <c r="J1373" s="49">
        <f t="shared" si="294"/>
        <v>1970</v>
      </c>
      <c r="K1373" s="62">
        <f t="shared" si="301"/>
        <v>0</v>
      </c>
      <c r="L1373" s="49">
        <f t="shared" si="290"/>
        <v>1970</v>
      </c>
      <c r="M1373" s="62">
        <f t="shared" si="301"/>
        <v>0</v>
      </c>
      <c r="N1373" s="49">
        <f t="shared" si="296"/>
        <v>1970</v>
      </c>
    </row>
    <row r="1374" spans="1:14" ht="53.25" customHeight="1" x14ac:dyDescent="0.2">
      <c r="A1374" s="50" t="s">
        <v>90</v>
      </c>
      <c r="B1374" s="79" t="s">
        <v>428</v>
      </c>
      <c r="C1374" s="65" t="s">
        <v>70</v>
      </c>
      <c r="D1374" s="65" t="s">
        <v>73</v>
      </c>
      <c r="E1374" s="26"/>
      <c r="F1374" s="62">
        <f>F1375+F1377</f>
        <v>1970</v>
      </c>
      <c r="G1374" s="62">
        <f>G1375+G1377</f>
        <v>0</v>
      </c>
      <c r="H1374" s="49">
        <f t="shared" si="288"/>
        <v>1970</v>
      </c>
      <c r="I1374" s="62">
        <f>I1375+I1377</f>
        <v>0</v>
      </c>
      <c r="J1374" s="49">
        <f t="shared" si="294"/>
        <v>1970</v>
      </c>
      <c r="K1374" s="62">
        <f>K1375+K1377</f>
        <v>0</v>
      </c>
      <c r="L1374" s="49">
        <f t="shared" si="290"/>
        <v>1970</v>
      </c>
      <c r="M1374" s="62">
        <f>M1375+M1377</f>
        <v>0</v>
      </c>
      <c r="N1374" s="49">
        <f t="shared" si="296"/>
        <v>1970</v>
      </c>
    </row>
    <row r="1375" spans="1:14" ht="49.5" x14ac:dyDescent="0.2">
      <c r="A1375" s="50" t="str">
        <f t="shared" ref="A1375:A1378" ca="1" si="302">IF(ISERROR(MATCH(E1375,Код_КВР,0)),"",INDIRECT(ADDRESS(MATCH(E1375,Код_КВР,0)+1,2,,,"КВР")))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75" s="79" t="s">
        <v>428</v>
      </c>
      <c r="C1375" s="65" t="s">
        <v>70</v>
      </c>
      <c r="D1375" s="65" t="s">
        <v>73</v>
      </c>
      <c r="E1375" s="26">
        <v>100</v>
      </c>
      <c r="F1375" s="62">
        <f>F1376</f>
        <v>1920</v>
      </c>
      <c r="G1375" s="62">
        <f>G1376</f>
        <v>0</v>
      </c>
      <c r="H1375" s="49">
        <f t="shared" si="288"/>
        <v>1920</v>
      </c>
      <c r="I1375" s="62">
        <f>I1376</f>
        <v>0</v>
      </c>
      <c r="J1375" s="49">
        <f t="shared" si="294"/>
        <v>1920</v>
      </c>
      <c r="K1375" s="62">
        <f>K1376</f>
        <v>0</v>
      </c>
      <c r="L1375" s="49">
        <f t="shared" si="290"/>
        <v>1920</v>
      </c>
      <c r="M1375" s="62">
        <f>M1376</f>
        <v>0</v>
      </c>
      <c r="N1375" s="49">
        <f t="shared" si="296"/>
        <v>1920</v>
      </c>
    </row>
    <row r="1376" spans="1:14" x14ac:dyDescent="0.2">
      <c r="A1376" s="50" t="str">
        <f t="shared" ca="1" si="302"/>
        <v>Расходы на выплаты персоналу государственных (муниципальных) органов</v>
      </c>
      <c r="B1376" s="79" t="s">
        <v>428</v>
      </c>
      <c r="C1376" s="65" t="s">
        <v>70</v>
      </c>
      <c r="D1376" s="65" t="s">
        <v>73</v>
      </c>
      <c r="E1376" s="26">
        <v>120</v>
      </c>
      <c r="F1376" s="62">
        <f>'прил. 8'!G31</f>
        <v>1920</v>
      </c>
      <c r="G1376" s="62">
        <f>'прил. 8'!H31</f>
        <v>0</v>
      </c>
      <c r="H1376" s="49">
        <f t="shared" si="288"/>
        <v>1920</v>
      </c>
      <c r="I1376" s="62">
        <f>'прил. 8'!J31</f>
        <v>0</v>
      </c>
      <c r="J1376" s="49">
        <f t="shared" si="294"/>
        <v>1920</v>
      </c>
      <c r="K1376" s="62">
        <f>'прил. 8'!L31</f>
        <v>0</v>
      </c>
      <c r="L1376" s="49">
        <f t="shared" si="290"/>
        <v>1920</v>
      </c>
      <c r="M1376" s="62">
        <f>'прил. 8'!N31</f>
        <v>0</v>
      </c>
      <c r="N1376" s="49">
        <f t="shared" si="296"/>
        <v>1920</v>
      </c>
    </row>
    <row r="1377" spans="1:14" ht="33" x14ac:dyDescent="0.2">
      <c r="A1377" s="50" t="str">
        <f t="shared" ca="1" si="302"/>
        <v>Закупка товаров, работ и услуг для обеспечения государственных (муниципальных) нужд</v>
      </c>
      <c r="B1377" s="79" t="s">
        <v>428</v>
      </c>
      <c r="C1377" s="65" t="s">
        <v>70</v>
      </c>
      <c r="D1377" s="65" t="s">
        <v>73</v>
      </c>
      <c r="E1377" s="26">
        <v>200</v>
      </c>
      <c r="F1377" s="62">
        <f>F1378</f>
        <v>50</v>
      </c>
      <c r="G1377" s="62">
        <f>G1378</f>
        <v>0</v>
      </c>
      <c r="H1377" s="49">
        <f t="shared" si="288"/>
        <v>50</v>
      </c>
      <c r="I1377" s="62">
        <f>I1378</f>
        <v>0</v>
      </c>
      <c r="J1377" s="49">
        <f t="shared" si="294"/>
        <v>50</v>
      </c>
      <c r="K1377" s="62">
        <f>K1378</f>
        <v>0</v>
      </c>
      <c r="L1377" s="49">
        <f t="shared" si="290"/>
        <v>50</v>
      </c>
      <c r="M1377" s="62">
        <f>M1378</f>
        <v>0</v>
      </c>
      <c r="N1377" s="49">
        <f t="shared" si="296"/>
        <v>50</v>
      </c>
    </row>
    <row r="1378" spans="1:14" ht="33" x14ac:dyDescent="0.2">
      <c r="A1378" s="50" t="str">
        <f t="shared" ca="1" si="302"/>
        <v>Иные закупки товаров, работ и услуг для обеспечения государственных (муниципальных) нужд</v>
      </c>
      <c r="B1378" s="79" t="s">
        <v>428</v>
      </c>
      <c r="C1378" s="65" t="s">
        <v>70</v>
      </c>
      <c r="D1378" s="65" t="s">
        <v>73</v>
      </c>
      <c r="E1378" s="26">
        <v>240</v>
      </c>
      <c r="F1378" s="62">
        <f>'прил. 8'!G33</f>
        <v>50</v>
      </c>
      <c r="G1378" s="62">
        <f>'прил. 8'!H33</f>
        <v>0</v>
      </c>
      <c r="H1378" s="49">
        <f t="shared" si="288"/>
        <v>50</v>
      </c>
      <c r="I1378" s="62">
        <f>'прил. 8'!J33</f>
        <v>0</v>
      </c>
      <c r="J1378" s="49">
        <f t="shared" si="294"/>
        <v>50</v>
      </c>
      <c r="K1378" s="62">
        <f>'прил. 8'!L33</f>
        <v>0</v>
      </c>
      <c r="L1378" s="49">
        <f t="shared" si="290"/>
        <v>50</v>
      </c>
      <c r="M1378" s="62">
        <f>'прил. 8'!N33</f>
        <v>0</v>
      </c>
      <c r="N1378" s="49">
        <f t="shared" si="296"/>
        <v>50</v>
      </c>
    </row>
    <row r="1379" spans="1:14" ht="82.5" hidden="1" x14ac:dyDescent="0.2">
      <c r="A1379" s="50" t="str">
        <f ca="1">IF(ISERROR(MATCH(B1379,Код_КЦСР,0)),"",INDIRECT(ADDRESS(MATCH(B1379,Код_КЦСР,0)+1,2,,,"КЦСР")))</f>
        <v>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родителей», за счет средств областного бюджета</v>
      </c>
      <c r="B1379" s="79" t="s">
        <v>429</v>
      </c>
      <c r="C1379" s="65"/>
      <c r="D1379" s="65"/>
      <c r="E1379" s="26"/>
      <c r="F1379" s="62">
        <f t="shared" ref="F1379:M1382" si="303">F1380</f>
        <v>0</v>
      </c>
      <c r="G1379" s="62">
        <f t="shared" si="303"/>
        <v>0</v>
      </c>
      <c r="H1379" s="49">
        <f t="shared" si="288"/>
        <v>0</v>
      </c>
      <c r="I1379" s="62">
        <f t="shared" si="303"/>
        <v>0</v>
      </c>
      <c r="J1379" s="49">
        <f t="shared" si="294"/>
        <v>0</v>
      </c>
      <c r="K1379" s="62">
        <f t="shared" si="303"/>
        <v>0</v>
      </c>
      <c r="L1379" s="49">
        <f t="shared" si="290"/>
        <v>0</v>
      </c>
      <c r="M1379" s="62">
        <f t="shared" si="303"/>
        <v>0</v>
      </c>
      <c r="N1379" s="49">
        <f t="shared" si="296"/>
        <v>0</v>
      </c>
    </row>
    <row r="1380" spans="1:14" hidden="1" x14ac:dyDescent="0.2">
      <c r="A1380" s="50" t="str">
        <f ca="1">IF(ISERROR(MATCH(C1380,Код_Раздел,0)),"",INDIRECT(ADDRESS(MATCH(C1380,Код_Раздел,0)+1,2,,,"Раздел")))</f>
        <v>Общегосударственные вопросы</v>
      </c>
      <c r="B1380" s="79" t="s">
        <v>429</v>
      </c>
      <c r="C1380" s="65" t="s">
        <v>70</v>
      </c>
      <c r="D1380" s="65"/>
      <c r="E1380" s="26"/>
      <c r="F1380" s="62">
        <f t="shared" si="303"/>
        <v>0</v>
      </c>
      <c r="G1380" s="62">
        <f t="shared" si="303"/>
        <v>0</v>
      </c>
      <c r="H1380" s="49">
        <f t="shared" si="288"/>
        <v>0</v>
      </c>
      <c r="I1380" s="62">
        <f t="shared" si="303"/>
        <v>0</v>
      </c>
      <c r="J1380" s="49">
        <f t="shared" si="294"/>
        <v>0</v>
      </c>
      <c r="K1380" s="62">
        <f t="shared" si="303"/>
        <v>0</v>
      </c>
      <c r="L1380" s="49">
        <f t="shared" si="290"/>
        <v>0</v>
      </c>
      <c r="M1380" s="62">
        <f t="shared" si="303"/>
        <v>0</v>
      </c>
      <c r="N1380" s="49">
        <f t="shared" si="296"/>
        <v>0</v>
      </c>
    </row>
    <row r="1381" spans="1:14" ht="49.5" hidden="1" x14ac:dyDescent="0.2">
      <c r="A1381" s="50" t="s">
        <v>90</v>
      </c>
      <c r="B1381" s="79" t="s">
        <v>429</v>
      </c>
      <c r="C1381" s="65" t="s">
        <v>70</v>
      </c>
      <c r="D1381" s="65" t="s">
        <v>73</v>
      </c>
      <c r="E1381" s="26"/>
      <c r="F1381" s="62">
        <f t="shared" si="303"/>
        <v>0</v>
      </c>
      <c r="G1381" s="62">
        <f t="shared" si="303"/>
        <v>0</v>
      </c>
      <c r="H1381" s="49">
        <f t="shared" si="288"/>
        <v>0</v>
      </c>
      <c r="I1381" s="62">
        <f t="shared" si="303"/>
        <v>0</v>
      </c>
      <c r="J1381" s="49">
        <f t="shared" si="294"/>
        <v>0</v>
      </c>
      <c r="K1381" s="62">
        <f t="shared" si="303"/>
        <v>0</v>
      </c>
      <c r="L1381" s="49">
        <f t="shared" si="290"/>
        <v>0</v>
      </c>
      <c r="M1381" s="62">
        <f t="shared" si="303"/>
        <v>0</v>
      </c>
      <c r="N1381" s="49">
        <f t="shared" si="296"/>
        <v>0</v>
      </c>
    </row>
    <row r="1382" spans="1:14" ht="49.5" hidden="1" x14ac:dyDescent="0.2">
      <c r="A1382" s="50" t="str">
        <f t="shared" ref="A1382:A1383" ca="1" si="304">IF(ISERROR(MATCH(E1382,Код_КВР,0)),"",INDIRECT(ADDRESS(MATCH(E1382,Код_КВР,0)+1,2,,,"КВР")))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82" s="79" t="s">
        <v>429</v>
      </c>
      <c r="C1382" s="65" t="s">
        <v>70</v>
      </c>
      <c r="D1382" s="65" t="s">
        <v>73</v>
      </c>
      <c r="E1382" s="26">
        <v>100</v>
      </c>
      <c r="F1382" s="62">
        <f t="shared" si="303"/>
        <v>0</v>
      </c>
      <c r="G1382" s="62">
        <f t="shared" si="303"/>
        <v>0</v>
      </c>
      <c r="H1382" s="49">
        <f t="shared" si="288"/>
        <v>0</v>
      </c>
      <c r="I1382" s="62">
        <f t="shared" si="303"/>
        <v>0</v>
      </c>
      <c r="J1382" s="49">
        <f t="shared" si="294"/>
        <v>0</v>
      </c>
      <c r="K1382" s="62">
        <f t="shared" si="303"/>
        <v>0</v>
      </c>
      <c r="L1382" s="49">
        <f t="shared" si="290"/>
        <v>0</v>
      </c>
      <c r="M1382" s="62">
        <f t="shared" si="303"/>
        <v>0</v>
      </c>
      <c r="N1382" s="49">
        <f t="shared" si="296"/>
        <v>0</v>
      </c>
    </row>
    <row r="1383" spans="1:14" hidden="1" x14ac:dyDescent="0.2">
      <c r="A1383" s="50" t="str">
        <f t="shared" ca="1" si="304"/>
        <v>Расходы на выплаты персоналу государственных (муниципальных) органов</v>
      </c>
      <c r="B1383" s="79" t="s">
        <v>429</v>
      </c>
      <c r="C1383" s="65" t="s">
        <v>70</v>
      </c>
      <c r="D1383" s="65" t="s">
        <v>73</v>
      </c>
      <c r="E1383" s="26">
        <v>120</v>
      </c>
      <c r="F1383" s="62">
        <f>'прил. 8'!G36</f>
        <v>0</v>
      </c>
      <c r="G1383" s="62">
        <f>'прил. 8'!H36</f>
        <v>0</v>
      </c>
      <c r="H1383" s="49">
        <f t="shared" si="288"/>
        <v>0</v>
      </c>
      <c r="I1383" s="62">
        <f>'прил. 8'!J36</f>
        <v>0</v>
      </c>
      <c r="J1383" s="49">
        <f t="shared" si="294"/>
        <v>0</v>
      </c>
      <c r="K1383" s="62">
        <f>'прил. 8'!L36</f>
        <v>0</v>
      </c>
      <c r="L1383" s="49">
        <f t="shared" si="290"/>
        <v>0</v>
      </c>
      <c r="M1383" s="62">
        <f>'прил. 8'!N36</f>
        <v>0</v>
      </c>
      <c r="N1383" s="49">
        <f t="shared" si="296"/>
        <v>0</v>
      </c>
    </row>
    <row r="1384" spans="1:14" ht="82.5" x14ac:dyDescent="0.2">
      <c r="A1384" s="50" t="str">
        <f ca="1">IF(ISERROR(MATCH(B1384,Код_КЦСР,0)),"",INDIRECT(ADDRESS(MATCH(B1384,Код_КЦСР,0)+1,2,,,"КЦСР")))</f>
        <v>Осуществление отдельных государственных полномочий в соответствии с законом области от 5 октября 2006 года 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(тарифов)», за счет средств областного бюджета</v>
      </c>
      <c r="B1384" s="79" t="s">
        <v>427</v>
      </c>
      <c r="C1384" s="65"/>
      <c r="D1384" s="65"/>
      <c r="E1384" s="26"/>
      <c r="F1384" s="62">
        <f t="shared" ref="F1384:M1387" si="305">F1385</f>
        <v>231.9</v>
      </c>
      <c r="G1384" s="62">
        <f t="shared" si="305"/>
        <v>0</v>
      </c>
      <c r="H1384" s="49">
        <f t="shared" si="288"/>
        <v>231.9</v>
      </c>
      <c r="I1384" s="62">
        <f t="shared" si="305"/>
        <v>0</v>
      </c>
      <c r="J1384" s="49">
        <f t="shared" si="294"/>
        <v>231.9</v>
      </c>
      <c r="K1384" s="62">
        <f t="shared" si="305"/>
        <v>0</v>
      </c>
      <c r="L1384" s="49">
        <f t="shared" ref="L1384:L1452" si="306">J1384+K1384</f>
        <v>231.9</v>
      </c>
      <c r="M1384" s="62">
        <f t="shared" si="305"/>
        <v>0</v>
      </c>
      <c r="N1384" s="49">
        <f t="shared" si="296"/>
        <v>231.9</v>
      </c>
    </row>
    <row r="1385" spans="1:14" x14ac:dyDescent="0.2">
      <c r="A1385" s="50" t="str">
        <f ca="1">IF(ISERROR(MATCH(C1385,Код_Раздел,0)),"",INDIRECT(ADDRESS(MATCH(C1385,Код_Раздел,0)+1,2,,,"Раздел")))</f>
        <v>Общегосударственные вопросы</v>
      </c>
      <c r="B1385" s="79" t="s">
        <v>427</v>
      </c>
      <c r="C1385" s="65" t="s">
        <v>70</v>
      </c>
      <c r="D1385" s="65"/>
      <c r="E1385" s="26"/>
      <c r="F1385" s="62">
        <f t="shared" si="305"/>
        <v>231.9</v>
      </c>
      <c r="G1385" s="62">
        <f t="shared" si="305"/>
        <v>0</v>
      </c>
      <c r="H1385" s="49">
        <f t="shared" si="288"/>
        <v>231.9</v>
      </c>
      <c r="I1385" s="62">
        <f t="shared" si="305"/>
        <v>0</v>
      </c>
      <c r="J1385" s="49">
        <f t="shared" si="294"/>
        <v>231.9</v>
      </c>
      <c r="K1385" s="62">
        <f t="shared" si="305"/>
        <v>0</v>
      </c>
      <c r="L1385" s="49">
        <f t="shared" si="306"/>
        <v>231.9</v>
      </c>
      <c r="M1385" s="62">
        <f t="shared" si="305"/>
        <v>0</v>
      </c>
      <c r="N1385" s="49">
        <f t="shared" si="296"/>
        <v>231.9</v>
      </c>
    </row>
    <row r="1386" spans="1:14" ht="33" x14ac:dyDescent="0.2">
      <c r="A1386" s="45" t="s">
        <v>36</v>
      </c>
      <c r="B1386" s="79" t="s">
        <v>427</v>
      </c>
      <c r="C1386" s="65" t="s">
        <v>70</v>
      </c>
      <c r="D1386" s="65" t="s">
        <v>74</v>
      </c>
      <c r="E1386" s="26"/>
      <c r="F1386" s="62">
        <f t="shared" si="305"/>
        <v>231.9</v>
      </c>
      <c r="G1386" s="62">
        <f t="shared" si="305"/>
        <v>0</v>
      </c>
      <c r="H1386" s="49">
        <f t="shared" si="288"/>
        <v>231.9</v>
      </c>
      <c r="I1386" s="62">
        <f t="shared" si="305"/>
        <v>0</v>
      </c>
      <c r="J1386" s="49">
        <f t="shared" si="294"/>
        <v>231.9</v>
      </c>
      <c r="K1386" s="62">
        <f t="shared" si="305"/>
        <v>0</v>
      </c>
      <c r="L1386" s="49">
        <f t="shared" si="306"/>
        <v>231.9</v>
      </c>
      <c r="M1386" s="62">
        <f t="shared" si="305"/>
        <v>0</v>
      </c>
      <c r="N1386" s="49">
        <f t="shared" si="296"/>
        <v>231.9</v>
      </c>
    </row>
    <row r="1387" spans="1:14" ht="49.5" x14ac:dyDescent="0.2">
      <c r="A1387" s="50" t="str">
        <f t="shared" ref="A1387:A1388" ca="1" si="307">IF(ISERROR(MATCH(E1387,Код_КВР,0)),"",INDIRECT(ADDRESS(MATCH(E1387,Код_КВР,0)+1,2,,,"КВР")))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87" s="79" t="s">
        <v>427</v>
      </c>
      <c r="C1387" s="65" t="s">
        <v>70</v>
      </c>
      <c r="D1387" s="65" t="s">
        <v>74</v>
      </c>
      <c r="E1387" s="26">
        <v>100</v>
      </c>
      <c r="F1387" s="62">
        <f t="shared" si="305"/>
        <v>231.9</v>
      </c>
      <c r="G1387" s="62">
        <f t="shared" si="305"/>
        <v>0</v>
      </c>
      <c r="H1387" s="49">
        <f t="shared" si="288"/>
        <v>231.9</v>
      </c>
      <c r="I1387" s="62">
        <f t="shared" si="305"/>
        <v>0</v>
      </c>
      <c r="J1387" s="49">
        <f t="shared" si="294"/>
        <v>231.9</v>
      </c>
      <c r="K1387" s="62">
        <f t="shared" si="305"/>
        <v>0</v>
      </c>
      <c r="L1387" s="49">
        <f t="shared" si="306"/>
        <v>231.9</v>
      </c>
      <c r="M1387" s="62">
        <f t="shared" si="305"/>
        <v>0</v>
      </c>
      <c r="N1387" s="49">
        <f t="shared" si="296"/>
        <v>231.9</v>
      </c>
    </row>
    <row r="1388" spans="1:14" x14ac:dyDescent="0.2">
      <c r="A1388" s="50" t="str">
        <f t="shared" ca="1" si="307"/>
        <v>Расходы на выплаты персоналу государственных (муниципальных) органов</v>
      </c>
      <c r="B1388" s="79" t="s">
        <v>427</v>
      </c>
      <c r="C1388" s="65" t="s">
        <v>70</v>
      </c>
      <c r="D1388" s="65" t="s">
        <v>74</v>
      </c>
      <c r="E1388" s="26">
        <v>120</v>
      </c>
      <c r="F1388" s="62">
        <f>'прил. 8'!G907</f>
        <v>231.9</v>
      </c>
      <c r="G1388" s="62">
        <f>'прил. 8'!H907</f>
        <v>0</v>
      </c>
      <c r="H1388" s="49">
        <f t="shared" si="288"/>
        <v>231.9</v>
      </c>
      <c r="I1388" s="62">
        <f>'прил. 8'!J907</f>
        <v>0</v>
      </c>
      <c r="J1388" s="49">
        <f t="shared" si="294"/>
        <v>231.9</v>
      </c>
      <c r="K1388" s="62">
        <f>'прил. 8'!L907</f>
        <v>0</v>
      </c>
      <c r="L1388" s="49">
        <f t="shared" si="306"/>
        <v>231.9</v>
      </c>
      <c r="M1388" s="62">
        <f>'прил. 8'!N907</f>
        <v>0</v>
      </c>
      <c r="N1388" s="49">
        <f t="shared" si="296"/>
        <v>231.9</v>
      </c>
    </row>
    <row r="1389" spans="1:14" ht="74.25" customHeight="1" x14ac:dyDescent="0.2">
      <c r="A1389" s="50" t="str">
        <f ca="1">IF(ISERROR(MATCH(B1389,Код_КЦСР,0)),"",INDIRECT(ADDRESS(MATCH(B1389,Код_КЦСР,0)+1,2,,,"КЦСР")))</f>
        <v>Осуществление отдельных государственных полномочий в соответствии с законом области «О наделении органов местного самоуправления отдельными государственными полномочиями по лицензионному контролю», за счет средств областного бюджета</v>
      </c>
      <c r="B1389" s="79" t="s">
        <v>664</v>
      </c>
      <c r="C1389" s="65"/>
      <c r="D1389" s="65"/>
      <c r="E1389" s="26"/>
      <c r="F1389" s="62"/>
      <c r="G1389" s="62"/>
      <c r="H1389" s="49"/>
      <c r="I1389" s="62">
        <f>I1390</f>
        <v>461.8</v>
      </c>
      <c r="J1389" s="49">
        <f t="shared" si="294"/>
        <v>461.8</v>
      </c>
      <c r="K1389" s="62">
        <f>K1390</f>
        <v>0</v>
      </c>
      <c r="L1389" s="49">
        <f t="shared" si="306"/>
        <v>461.8</v>
      </c>
      <c r="M1389" s="62">
        <f>M1390</f>
        <v>0</v>
      </c>
      <c r="N1389" s="49">
        <f t="shared" si="296"/>
        <v>461.8</v>
      </c>
    </row>
    <row r="1390" spans="1:14" ht="24.75" customHeight="1" x14ac:dyDescent="0.2">
      <c r="A1390" s="50" t="str">
        <f ca="1">IF(ISERROR(MATCH(C1390,Код_Раздел,0)),"",INDIRECT(ADDRESS(MATCH(C1390,Код_Раздел,0)+1,2,,,"Раздел")))</f>
        <v>Жилищно-коммунальное хозяйство</v>
      </c>
      <c r="B1390" s="79" t="s">
        <v>664</v>
      </c>
      <c r="C1390" s="65" t="s">
        <v>78</v>
      </c>
      <c r="D1390" s="65"/>
      <c r="E1390" s="26"/>
      <c r="F1390" s="62"/>
      <c r="G1390" s="62"/>
      <c r="H1390" s="49"/>
      <c r="I1390" s="62">
        <f>I1391</f>
        <v>461.8</v>
      </c>
      <c r="J1390" s="49">
        <f t="shared" si="294"/>
        <v>461.8</v>
      </c>
      <c r="K1390" s="62">
        <f>K1391</f>
        <v>0</v>
      </c>
      <c r="L1390" s="49">
        <f t="shared" si="306"/>
        <v>461.8</v>
      </c>
      <c r="M1390" s="62">
        <f>M1391</f>
        <v>0</v>
      </c>
      <c r="N1390" s="49">
        <f t="shared" si="296"/>
        <v>461.8</v>
      </c>
    </row>
    <row r="1391" spans="1:14" ht="21" customHeight="1" x14ac:dyDescent="0.2">
      <c r="A1391" s="45" t="s">
        <v>35</v>
      </c>
      <c r="B1391" s="79" t="s">
        <v>664</v>
      </c>
      <c r="C1391" s="65" t="s">
        <v>78</v>
      </c>
      <c r="D1391" s="65" t="s">
        <v>78</v>
      </c>
      <c r="E1391" s="26"/>
      <c r="F1391" s="62"/>
      <c r="G1391" s="62"/>
      <c r="H1391" s="49"/>
      <c r="I1391" s="62">
        <f>I1392</f>
        <v>461.8</v>
      </c>
      <c r="J1391" s="49">
        <f t="shared" si="294"/>
        <v>461.8</v>
      </c>
      <c r="K1391" s="62">
        <f>K1392</f>
        <v>0</v>
      </c>
      <c r="L1391" s="49">
        <f t="shared" si="306"/>
        <v>461.8</v>
      </c>
      <c r="M1391" s="62">
        <f>M1392</f>
        <v>0</v>
      </c>
      <c r="N1391" s="49">
        <f t="shared" si="296"/>
        <v>461.8</v>
      </c>
    </row>
    <row r="1392" spans="1:14" ht="60.75" customHeight="1" x14ac:dyDescent="0.2">
      <c r="A1392" s="50" t="str">
        <f t="shared" ref="A1392:A1393" ca="1" si="308">IF(ISERROR(MATCH(E1392,Код_КВР,0)),"",INDIRECT(ADDRESS(MATCH(E1392,Код_КВР,0)+1,2,,,"КВР")))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92" s="79" t="s">
        <v>664</v>
      </c>
      <c r="C1392" s="65" t="s">
        <v>78</v>
      </c>
      <c r="D1392" s="65" t="s">
        <v>78</v>
      </c>
      <c r="E1392" s="26">
        <v>100</v>
      </c>
      <c r="F1392" s="62"/>
      <c r="G1392" s="62"/>
      <c r="H1392" s="49"/>
      <c r="I1392" s="62">
        <f>I1393</f>
        <v>461.8</v>
      </c>
      <c r="J1392" s="49">
        <f t="shared" si="294"/>
        <v>461.8</v>
      </c>
      <c r="K1392" s="62">
        <f>K1393</f>
        <v>0</v>
      </c>
      <c r="L1392" s="49">
        <f t="shared" si="306"/>
        <v>461.8</v>
      </c>
      <c r="M1392" s="62">
        <f>M1393</f>
        <v>0</v>
      </c>
      <c r="N1392" s="49">
        <f t="shared" si="296"/>
        <v>461.8</v>
      </c>
    </row>
    <row r="1393" spans="1:14" ht="27.75" customHeight="1" x14ac:dyDescent="0.2">
      <c r="A1393" s="50" t="str">
        <f t="shared" ca="1" si="308"/>
        <v>Расходы на выплаты персоналу государственных (муниципальных) органов</v>
      </c>
      <c r="B1393" s="79" t="s">
        <v>664</v>
      </c>
      <c r="C1393" s="65" t="s">
        <v>78</v>
      </c>
      <c r="D1393" s="65" t="s">
        <v>78</v>
      </c>
      <c r="E1393" s="26">
        <v>120</v>
      </c>
      <c r="F1393" s="62"/>
      <c r="G1393" s="62"/>
      <c r="H1393" s="49"/>
      <c r="I1393" s="62">
        <f>'прил. 8'!J266</f>
        <v>461.8</v>
      </c>
      <c r="J1393" s="49">
        <f t="shared" si="294"/>
        <v>461.8</v>
      </c>
      <c r="K1393" s="62">
        <f>'прил. 8'!L266</f>
        <v>0</v>
      </c>
      <c r="L1393" s="49">
        <f t="shared" si="306"/>
        <v>461.8</v>
      </c>
      <c r="M1393" s="62">
        <f>'прил. 8'!N266</f>
        <v>0</v>
      </c>
      <c r="N1393" s="49">
        <f t="shared" si="296"/>
        <v>461.8</v>
      </c>
    </row>
    <row r="1394" spans="1:14" ht="93" customHeight="1" x14ac:dyDescent="0.2">
      <c r="A1394" s="50" t="str">
        <f ca="1">IF(ISERROR(MATCH(B1394,Код_КЦСР,0)),"",INDIRECT(ADDRESS(MATCH(B1394,Код_КЦСР,0)+1,2,,,"КЦСР")))</f>
        <v>Иные межбюджетные трансферты на стимулирование органов местного самоуправления муниципальных районов (городских округов) области за достижение наилучших результатов по социально-экономическому развитию муниципальных образований области, за счет средств областного бюджета</v>
      </c>
      <c r="B1394" s="79" t="s">
        <v>695</v>
      </c>
      <c r="C1394" s="65"/>
      <c r="D1394" s="65"/>
      <c r="E1394" s="26"/>
      <c r="F1394" s="62"/>
      <c r="G1394" s="62"/>
      <c r="H1394" s="49"/>
      <c r="I1394" s="62"/>
      <c r="J1394" s="49"/>
      <c r="K1394" s="62">
        <f>K1395</f>
        <v>5958.2</v>
      </c>
      <c r="L1394" s="49">
        <f t="shared" si="306"/>
        <v>5958.2</v>
      </c>
      <c r="M1394" s="62">
        <f>M1395</f>
        <v>0</v>
      </c>
      <c r="N1394" s="49">
        <f t="shared" si="296"/>
        <v>5958.2</v>
      </c>
    </row>
    <row r="1395" spans="1:14" ht="24.75" customHeight="1" x14ac:dyDescent="0.2">
      <c r="A1395" s="50" t="str">
        <f ca="1">IF(ISERROR(MATCH(C1395,Код_Раздел,0)),"",INDIRECT(ADDRESS(MATCH(C1395,Код_Раздел,0)+1,2,,,"Раздел")))</f>
        <v>Общегосударственные вопросы</v>
      </c>
      <c r="B1395" s="79" t="s">
        <v>695</v>
      </c>
      <c r="C1395" s="65" t="s">
        <v>70</v>
      </c>
      <c r="D1395" s="65"/>
      <c r="E1395" s="26"/>
      <c r="F1395" s="62"/>
      <c r="G1395" s="62"/>
      <c r="H1395" s="49"/>
      <c r="I1395" s="62"/>
      <c r="J1395" s="49"/>
      <c r="K1395" s="62">
        <f>K1396</f>
        <v>5958.2</v>
      </c>
      <c r="L1395" s="49">
        <f t="shared" si="306"/>
        <v>5958.2</v>
      </c>
      <c r="M1395" s="62">
        <f>M1396</f>
        <v>0</v>
      </c>
      <c r="N1395" s="49">
        <f t="shared" si="296"/>
        <v>5958.2</v>
      </c>
    </row>
    <row r="1396" spans="1:14" ht="25.5" customHeight="1" x14ac:dyDescent="0.2">
      <c r="A1396" s="45" t="s">
        <v>91</v>
      </c>
      <c r="B1396" s="79" t="s">
        <v>695</v>
      </c>
      <c r="C1396" s="65" t="s">
        <v>70</v>
      </c>
      <c r="D1396" s="65" t="s">
        <v>55</v>
      </c>
      <c r="E1396" s="26"/>
      <c r="F1396" s="62"/>
      <c r="G1396" s="62"/>
      <c r="H1396" s="49"/>
      <c r="I1396" s="62"/>
      <c r="J1396" s="49"/>
      <c r="K1396" s="62">
        <f>K1397</f>
        <v>5958.2</v>
      </c>
      <c r="L1396" s="49">
        <f t="shared" si="306"/>
        <v>5958.2</v>
      </c>
      <c r="M1396" s="62">
        <f>M1397</f>
        <v>0</v>
      </c>
      <c r="N1396" s="49">
        <f t="shared" si="296"/>
        <v>5958.2</v>
      </c>
    </row>
    <row r="1397" spans="1:14" ht="38.25" customHeight="1" x14ac:dyDescent="0.2">
      <c r="A1397" s="50" t="str">
        <f t="shared" ref="A1397:A1398" ca="1" si="309">IF(ISERROR(MATCH(E1397,Код_КВР,0)),"",INDIRECT(ADDRESS(MATCH(E1397,Код_КВР,0)+1,2,,,"КВР")))</f>
        <v>Закупка товаров, работ и услуг для обеспечения государственных (муниципальных) нужд</v>
      </c>
      <c r="B1397" s="79" t="s">
        <v>695</v>
      </c>
      <c r="C1397" s="65" t="s">
        <v>70</v>
      </c>
      <c r="D1397" s="65" t="s">
        <v>55</v>
      </c>
      <c r="E1397" s="26">
        <v>200</v>
      </c>
      <c r="F1397" s="62"/>
      <c r="G1397" s="62"/>
      <c r="H1397" s="49"/>
      <c r="I1397" s="62"/>
      <c r="J1397" s="49"/>
      <c r="K1397" s="62">
        <f>K1398</f>
        <v>5958.2</v>
      </c>
      <c r="L1397" s="49">
        <f t="shared" si="306"/>
        <v>5958.2</v>
      </c>
      <c r="M1397" s="62">
        <f>M1398</f>
        <v>0</v>
      </c>
      <c r="N1397" s="49">
        <f t="shared" si="296"/>
        <v>5958.2</v>
      </c>
    </row>
    <row r="1398" spans="1:14" ht="38.25" customHeight="1" x14ac:dyDescent="0.2">
      <c r="A1398" s="50" t="str">
        <f t="shared" ca="1" si="309"/>
        <v>Иные закупки товаров, работ и услуг для обеспечения государственных (муниципальных) нужд</v>
      </c>
      <c r="B1398" s="79" t="s">
        <v>695</v>
      </c>
      <c r="C1398" s="65" t="s">
        <v>70</v>
      </c>
      <c r="D1398" s="65" t="s">
        <v>55</v>
      </c>
      <c r="E1398" s="26">
        <v>240</v>
      </c>
      <c r="F1398" s="62"/>
      <c r="G1398" s="62"/>
      <c r="H1398" s="49"/>
      <c r="I1398" s="62"/>
      <c r="J1398" s="49"/>
      <c r="K1398" s="62">
        <f>'прил. 8'!L133</f>
        <v>5958.2</v>
      </c>
      <c r="L1398" s="49">
        <f t="shared" si="306"/>
        <v>5958.2</v>
      </c>
      <c r="M1398" s="62">
        <f>'прил. 8'!N133</f>
        <v>0</v>
      </c>
      <c r="N1398" s="49">
        <f t="shared" si="296"/>
        <v>5958.2</v>
      </c>
    </row>
    <row r="1399" spans="1:14" ht="33" x14ac:dyDescent="0.2">
      <c r="A1399" s="50" t="str">
        <f ca="1">IF(ISERROR(MATCH(B1399,Код_КЦСР,0)),"",INDIRECT(ADDRESS(MATCH(B1399,Код_КЦСР,0)+1,2,,,"КЦСР")))</f>
        <v>Обеспечение деятельности представительного органа муниципального образования</v>
      </c>
      <c r="B1399" s="79" t="s">
        <v>407</v>
      </c>
      <c r="C1399" s="65"/>
      <c r="D1399" s="65"/>
      <c r="E1399" s="26"/>
      <c r="F1399" s="62">
        <f>F1400</f>
        <v>14556.9</v>
      </c>
      <c r="G1399" s="62">
        <f>G1400</f>
        <v>0</v>
      </c>
      <c r="H1399" s="49">
        <f t="shared" si="288"/>
        <v>14556.9</v>
      </c>
      <c r="I1399" s="62">
        <f>I1400</f>
        <v>0</v>
      </c>
      <c r="J1399" s="49">
        <f t="shared" si="294"/>
        <v>14556.9</v>
      </c>
      <c r="K1399" s="62">
        <f>K1400</f>
        <v>0</v>
      </c>
      <c r="L1399" s="49">
        <f t="shared" si="306"/>
        <v>14556.9</v>
      </c>
      <c r="M1399" s="62">
        <f>M1400</f>
        <v>0</v>
      </c>
      <c r="N1399" s="49">
        <f t="shared" si="296"/>
        <v>14556.9</v>
      </c>
    </row>
    <row r="1400" spans="1:14" ht="33" x14ac:dyDescent="0.2">
      <c r="A1400" s="50" t="str">
        <f ca="1">IF(ISERROR(MATCH(B1400,Код_КЦСР,0)),"",INDIRECT(ADDRESS(MATCH(B1400,Код_КЦСР,0)+1,2,,,"КЦСР")))</f>
        <v>Расходы на обеспечение функций представительного органа муниципального образования</v>
      </c>
      <c r="B1400" s="79" t="s">
        <v>409</v>
      </c>
      <c r="C1400" s="65"/>
      <c r="D1400" s="65"/>
      <c r="E1400" s="26"/>
      <c r="F1400" s="62">
        <f>F1401</f>
        <v>14556.9</v>
      </c>
      <c r="G1400" s="62">
        <f>G1401</f>
        <v>0</v>
      </c>
      <c r="H1400" s="49">
        <f t="shared" si="288"/>
        <v>14556.9</v>
      </c>
      <c r="I1400" s="62">
        <f>I1401</f>
        <v>0</v>
      </c>
      <c r="J1400" s="49">
        <f t="shared" si="294"/>
        <v>14556.9</v>
      </c>
      <c r="K1400" s="62">
        <f>K1401</f>
        <v>0</v>
      </c>
      <c r="L1400" s="49">
        <f t="shared" si="306"/>
        <v>14556.9</v>
      </c>
      <c r="M1400" s="62">
        <f>M1401</f>
        <v>0</v>
      </c>
      <c r="N1400" s="49">
        <f t="shared" si="296"/>
        <v>14556.9</v>
      </c>
    </row>
    <row r="1401" spans="1:14" x14ac:dyDescent="0.2">
      <c r="A1401" s="50" t="str">
        <f ca="1">IF(ISERROR(MATCH(B1401,Код_КЦСР,0)),"",INDIRECT(ADDRESS(MATCH(B1401,Код_КЦСР,0)+1,2,,,"КЦСР")))</f>
        <v>Расходы на обеспечение функций органов местного самоуправления</v>
      </c>
      <c r="B1401" s="79" t="s">
        <v>410</v>
      </c>
      <c r="C1401" s="65"/>
      <c r="D1401" s="65"/>
      <c r="E1401" s="26"/>
      <c r="F1401" s="62">
        <f>F1402+F1410</f>
        <v>14556.9</v>
      </c>
      <c r="G1401" s="62">
        <f>G1402+G1410</f>
        <v>0</v>
      </c>
      <c r="H1401" s="49">
        <f t="shared" si="288"/>
        <v>14556.9</v>
      </c>
      <c r="I1401" s="62">
        <f>I1402+I1410</f>
        <v>0</v>
      </c>
      <c r="J1401" s="49">
        <f t="shared" si="294"/>
        <v>14556.9</v>
      </c>
      <c r="K1401" s="62">
        <f>K1402+K1410</f>
        <v>0</v>
      </c>
      <c r="L1401" s="49">
        <f t="shared" si="306"/>
        <v>14556.9</v>
      </c>
      <c r="M1401" s="62">
        <f>M1402+M1410</f>
        <v>0</v>
      </c>
      <c r="N1401" s="49">
        <f t="shared" si="296"/>
        <v>14556.9</v>
      </c>
    </row>
    <row r="1402" spans="1:14" x14ac:dyDescent="0.2">
      <c r="A1402" s="50" t="str">
        <f ca="1">IF(ISERROR(MATCH(C1402,Код_Раздел,0)),"",INDIRECT(ADDRESS(MATCH(C1402,Код_Раздел,0)+1,2,,,"Раздел")))</f>
        <v>Общегосударственные вопросы</v>
      </c>
      <c r="B1402" s="79" t="s">
        <v>410</v>
      </c>
      <c r="C1402" s="65" t="s">
        <v>70</v>
      </c>
      <c r="D1402" s="65"/>
      <c r="E1402" s="26"/>
      <c r="F1402" s="62">
        <f>F1403</f>
        <v>14385.6</v>
      </c>
      <c r="G1402" s="62">
        <f>G1403</f>
        <v>0</v>
      </c>
      <c r="H1402" s="49">
        <f t="shared" ref="H1402:H1465" si="310">F1402+G1402</f>
        <v>14385.6</v>
      </c>
      <c r="I1402" s="62">
        <f>I1403</f>
        <v>0</v>
      </c>
      <c r="J1402" s="49">
        <f t="shared" si="294"/>
        <v>14385.6</v>
      </c>
      <c r="K1402" s="62">
        <f>K1403</f>
        <v>0</v>
      </c>
      <c r="L1402" s="49">
        <f t="shared" si="306"/>
        <v>14385.6</v>
      </c>
      <c r="M1402" s="62">
        <f>M1403</f>
        <v>0</v>
      </c>
      <c r="N1402" s="49">
        <f t="shared" si="296"/>
        <v>14385.6</v>
      </c>
    </row>
    <row r="1403" spans="1:14" ht="49.5" x14ac:dyDescent="0.2">
      <c r="A1403" s="45" t="s">
        <v>39</v>
      </c>
      <c r="B1403" s="79" t="s">
        <v>410</v>
      </c>
      <c r="C1403" s="65" t="s">
        <v>70</v>
      </c>
      <c r="D1403" s="65" t="s">
        <v>72</v>
      </c>
      <c r="E1403" s="26"/>
      <c r="F1403" s="62">
        <f>F1404+F1406+F1408</f>
        <v>14385.6</v>
      </c>
      <c r="G1403" s="62">
        <f>G1404+G1406+G1408</f>
        <v>0</v>
      </c>
      <c r="H1403" s="49">
        <f t="shared" si="310"/>
        <v>14385.6</v>
      </c>
      <c r="I1403" s="62">
        <f>I1404+I1406+I1408</f>
        <v>0</v>
      </c>
      <c r="J1403" s="49">
        <f t="shared" si="294"/>
        <v>14385.6</v>
      </c>
      <c r="K1403" s="62">
        <f>K1404+K1406+K1408</f>
        <v>0</v>
      </c>
      <c r="L1403" s="49">
        <f t="shared" si="306"/>
        <v>14385.6</v>
      </c>
      <c r="M1403" s="62">
        <f>M1404+M1406+M1408</f>
        <v>0</v>
      </c>
      <c r="N1403" s="49">
        <f t="shared" si="296"/>
        <v>14385.6</v>
      </c>
    </row>
    <row r="1404" spans="1:14" ht="49.5" x14ac:dyDescent="0.2">
      <c r="A1404" s="50" t="str">
        <f t="shared" ref="A1404:A1409" ca="1" si="311">IF(ISERROR(MATCH(E1404,Код_КВР,0)),"",INDIRECT(ADDRESS(MATCH(E1404,Код_КВР,0)+1,2,,,"КВР")))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04" s="79" t="s">
        <v>410</v>
      </c>
      <c r="C1404" s="65" t="s">
        <v>70</v>
      </c>
      <c r="D1404" s="65" t="s">
        <v>72</v>
      </c>
      <c r="E1404" s="26">
        <v>100</v>
      </c>
      <c r="F1404" s="62">
        <f>F1405</f>
        <v>13644</v>
      </c>
      <c r="G1404" s="62">
        <f>G1405</f>
        <v>0</v>
      </c>
      <c r="H1404" s="49">
        <f t="shared" si="310"/>
        <v>13644</v>
      </c>
      <c r="I1404" s="62">
        <f>I1405</f>
        <v>0</v>
      </c>
      <c r="J1404" s="49">
        <f t="shared" si="294"/>
        <v>13644</v>
      </c>
      <c r="K1404" s="62">
        <f>K1405</f>
        <v>0</v>
      </c>
      <c r="L1404" s="49">
        <f t="shared" si="306"/>
        <v>13644</v>
      </c>
      <c r="M1404" s="62">
        <f>M1405</f>
        <v>0</v>
      </c>
      <c r="N1404" s="49">
        <f t="shared" si="296"/>
        <v>13644</v>
      </c>
    </row>
    <row r="1405" spans="1:14" x14ac:dyDescent="0.2">
      <c r="A1405" s="50" t="str">
        <f t="shared" ca="1" si="311"/>
        <v>Расходы на выплаты персоналу государственных (муниципальных) органов</v>
      </c>
      <c r="B1405" s="79" t="s">
        <v>410</v>
      </c>
      <c r="C1405" s="65" t="s">
        <v>70</v>
      </c>
      <c r="D1405" s="65" t="s">
        <v>72</v>
      </c>
      <c r="E1405" s="26">
        <v>120</v>
      </c>
      <c r="F1405" s="62">
        <f>'прил. 8'!G470</f>
        <v>13644</v>
      </c>
      <c r="G1405" s="62">
        <f>'прил. 8'!H470</f>
        <v>0</v>
      </c>
      <c r="H1405" s="49">
        <f t="shared" si="310"/>
        <v>13644</v>
      </c>
      <c r="I1405" s="62">
        <f>'прил. 8'!J470</f>
        <v>0</v>
      </c>
      <c r="J1405" s="49">
        <f t="shared" si="294"/>
        <v>13644</v>
      </c>
      <c r="K1405" s="62">
        <f>'прил. 8'!L470</f>
        <v>0</v>
      </c>
      <c r="L1405" s="49">
        <f t="shared" si="306"/>
        <v>13644</v>
      </c>
      <c r="M1405" s="62">
        <f>'прил. 8'!N470</f>
        <v>0</v>
      </c>
      <c r="N1405" s="49">
        <f t="shared" si="296"/>
        <v>13644</v>
      </c>
    </row>
    <row r="1406" spans="1:14" ht="33" x14ac:dyDescent="0.2">
      <c r="A1406" s="50" t="str">
        <f t="shared" ca="1" si="311"/>
        <v>Закупка товаров, работ и услуг для обеспечения государственных (муниципальных) нужд</v>
      </c>
      <c r="B1406" s="79" t="s">
        <v>410</v>
      </c>
      <c r="C1406" s="65" t="s">
        <v>70</v>
      </c>
      <c r="D1406" s="65" t="s">
        <v>72</v>
      </c>
      <c r="E1406" s="26">
        <v>200</v>
      </c>
      <c r="F1406" s="62">
        <f>F1407</f>
        <v>741.1</v>
      </c>
      <c r="G1406" s="62">
        <f>G1407</f>
        <v>0</v>
      </c>
      <c r="H1406" s="49">
        <f t="shared" si="310"/>
        <v>741.1</v>
      </c>
      <c r="I1406" s="62">
        <f>I1407</f>
        <v>0</v>
      </c>
      <c r="J1406" s="49">
        <f t="shared" si="294"/>
        <v>741.1</v>
      </c>
      <c r="K1406" s="62">
        <f>K1407</f>
        <v>0</v>
      </c>
      <c r="L1406" s="49">
        <f t="shared" si="306"/>
        <v>741.1</v>
      </c>
      <c r="M1406" s="62">
        <f>M1407</f>
        <v>0</v>
      </c>
      <c r="N1406" s="49">
        <f t="shared" si="296"/>
        <v>741.1</v>
      </c>
    </row>
    <row r="1407" spans="1:14" ht="33" x14ac:dyDescent="0.2">
      <c r="A1407" s="50" t="str">
        <f t="shared" ca="1" si="311"/>
        <v>Иные закупки товаров, работ и услуг для обеспечения государственных (муниципальных) нужд</v>
      </c>
      <c r="B1407" s="79" t="s">
        <v>410</v>
      </c>
      <c r="C1407" s="65" t="s">
        <v>70</v>
      </c>
      <c r="D1407" s="65" t="s">
        <v>72</v>
      </c>
      <c r="E1407" s="26">
        <v>240</v>
      </c>
      <c r="F1407" s="62">
        <f>'прил. 8'!G472</f>
        <v>741.1</v>
      </c>
      <c r="G1407" s="62">
        <f>'прил. 8'!H472</f>
        <v>0</v>
      </c>
      <c r="H1407" s="49">
        <f t="shared" si="310"/>
        <v>741.1</v>
      </c>
      <c r="I1407" s="62">
        <f>'прил. 8'!J472</f>
        <v>0</v>
      </c>
      <c r="J1407" s="49">
        <f t="shared" si="294"/>
        <v>741.1</v>
      </c>
      <c r="K1407" s="62">
        <f>'прил. 8'!L472</f>
        <v>0</v>
      </c>
      <c r="L1407" s="49">
        <f t="shared" si="306"/>
        <v>741.1</v>
      </c>
      <c r="M1407" s="62">
        <f>'прил. 8'!N472</f>
        <v>0</v>
      </c>
      <c r="N1407" s="49">
        <f t="shared" si="296"/>
        <v>741.1</v>
      </c>
    </row>
    <row r="1408" spans="1:14" x14ac:dyDescent="0.2">
      <c r="A1408" s="50" t="str">
        <f t="shared" ca="1" si="311"/>
        <v>Иные бюджетные ассигнования</v>
      </c>
      <c r="B1408" s="79" t="s">
        <v>410</v>
      </c>
      <c r="C1408" s="65" t="s">
        <v>70</v>
      </c>
      <c r="D1408" s="65" t="s">
        <v>72</v>
      </c>
      <c r="E1408" s="26">
        <v>800</v>
      </c>
      <c r="F1408" s="62">
        <f>F1409</f>
        <v>0.5</v>
      </c>
      <c r="G1408" s="62">
        <f>G1409</f>
        <v>0</v>
      </c>
      <c r="H1408" s="49">
        <f t="shared" si="310"/>
        <v>0.5</v>
      </c>
      <c r="I1408" s="62">
        <f>I1409</f>
        <v>0</v>
      </c>
      <c r="J1408" s="49">
        <f t="shared" si="294"/>
        <v>0.5</v>
      </c>
      <c r="K1408" s="62">
        <f>K1409</f>
        <v>0</v>
      </c>
      <c r="L1408" s="49">
        <f t="shared" si="306"/>
        <v>0.5</v>
      </c>
      <c r="M1408" s="62">
        <f>M1409</f>
        <v>0</v>
      </c>
      <c r="N1408" s="49">
        <f t="shared" si="296"/>
        <v>0.5</v>
      </c>
    </row>
    <row r="1409" spans="1:14" x14ac:dyDescent="0.2">
      <c r="A1409" s="50" t="str">
        <f t="shared" ca="1" si="311"/>
        <v>Уплата налогов, сборов и иных платежей</v>
      </c>
      <c r="B1409" s="79" t="s">
        <v>410</v>
      </c>
      <c r="C1409" s="65" t="s">
        <v>70</v>
      </c>
      <c r="D1409" s="65" t="s">
        <v>72</v>
      </c>
      <c r="E1409" s="26">
        <v>850</v>
      </c>
      <c r="F1409" s="62">
        <f>'прил. 8'!G474</f>
        <v>0.5</v>
      </c>
      <c r="G1409" s="62">
        <f>'прил. 8'!H474</f>
        <v>0</v>
      </c>
      <c r="H1409" s="49">
        <f t="shared" si="310"/>
        <v>0.5</v>
      </c>
      <c r="I1409" s="62">
        <f>'прил. 8'!J474</f>
        <v>0</v>
      </c>
      <c r="J1409" s="49">
        <f t="shared" si="294"/>
        <v>0.5</v>
      </c>
      <c r="K1409" s="62">
        <f>'прил. 8'!L474</f>
        <v>0</v>
      </c>
      <c r="L1409" s="49">
        <f t="shared" si="306"/>
        <v>0.5</v>
      </c>
      <c r="M1409" s="62">
        <f>'прил. 8'!N474</f>
        <v>0</v>
      </c>
      <c r="N1409" s="49">
        <f t="shared" si="296"/>
        <v>0.5</v>
      </c>
    </row>
    <row r="1410" spans="1:14" x14ac:dyDescent="0.2">
      <c r="A1410" s="50" t="str">
        <f ca="1">IF(ISERROR(MATCH(C1410,Код_Раздел,0)),"",INDIRECT(ADDRESS(MATCH(C1410,Код_Раздел,0)+1,2,,,"Раздел")))</f>
        <v>Образование</v>
      </c>
      <c r="B1410" s="79" t="s">
        <v>410</v>
      </c>
      <c r="C1410" s="65" t="s">
        <v>60</v>
      </c>
      <c r="D1410" s="65"/>
      <c r="E1410" s="26"/>
      <c r="F1410" s="62">
        <f t="shared" ref="F1410:M1412" si="312">F1411</f>
        <v>171.3</v>
      </c>
      <c r="G1410" s="62">
        <f t="shared" si="312"/>
        <v>0</v>
      </c>
      <c r="H1410" s="49">
        <f t="shared" si="310"/>
        <v>171.3</v>
      </c>
      <c r="I1410" s="62">
        <f t="shared" si="312"/>
        <v>0</v>
      </c>
      <c r="J1410" s="49">
        <f t="shared" si="294"/>
        <v>171.3</v>
      </c>
      <c r="K1410" s="62">
        <f t="shared" si="312"/>
        <v>0</v>
      </c>
      <c r="L1410" s="49">
        <f t="shared" si="306"/>
        <v>171.3</v>
      </c>
      <c r="M1410" s="62">
        <f t="shared" si="312"/>
        <v>0</v>
      </c>
      <c r="N1410" s="49">
        <f t="shared" si="296"/>
        <v>171.3</v>
      </c>
    </row>
    <row r="1411" spans="1:14" x14ac:dyDescent="0.2">
      <c r="A1411" s="45" t="s">
        <v>532</v>
      </c>
      <c r="B1411" s="79" t="s">
        <v>410</v>
      </c>
      <c r="C1411" s="65" t="s">
        <v>60</v>
      </c>
      <c r="D1411" s="65" t="s">
        <v>78</v>
      </c>
      <c r="E1411" s="26"/>
      <c r="F1411" s="62">
        <f t="shared" si="312"/>
        <v>171.3</v>
      </c>
      <c r="G1411" s="62">
        <f t="shared" si="312"/>
        <v>0</v>
      </c>
      <c r="H1411" s="49">
        <f t="shared" si="310"/>
        <v>171.3</v>
      </c>
      <c r="I1411" s="62">
        <f t="shared" si="312"/>
        <v>0</v>
      </c>
      <c r="J1411" s="49">
        <f t="shared" si="294"/>
        <v>171.3</v>
      </c>
      <c r="K1411" s="62">
        <f t="shared" si="312"/>
        <v>0</v>
      </c>
      <c r="L1411" s="49">
        <f t="shared" si="306"/>
        <v>171.3</v>
      </c>
      <c r="M1411" s="62">
        <f t="shared" si="312"/>
        <v>0</v>
      </c>
      <c r="N1411" s="49">
        <f t="shared" si="296"/>
        <v>171.3</v>
      </c>
    </row>
    <row r="1412" spans="1:14" ht="33" x14ac:dyDescent="0.2">
      <c r="A1412" s="50" t="str">
        <f t="shared" ref="A1412:A1413" ca="1" si="313">IF(ISERROR(MATCH(E1412,Код_КВР,0)),"",INDIRECT(ADDRESS(MATCH(E1412,Код_КВР,0)+1,2,,,"КВР")))</f>
        <v>Закупка товаров, работ и услуг для обеспечения государственных (муниципальных) нужд</v>
      </c>
      <c r="B1412" s="79" t="s">
        <v>410</v>
      </c>
      <c r="C1412" s="65" t="s">
        <v>60</v>
      </c>
      <c r="D1412" s="65" t="s">
        <v>78</v>
      </c>
      <c r="E1412" s="26">
        <v>200</v>
      </c>
      <c r="F1412" s="62">
        <f t="shared" si="312"/>
        <v>171.3</v>
      </c>
      <c r="G1412" s="62">
        <f t="shared" si="312"/>
        <v>0</v>
      </c>
      <c r="H1412" s="49">
        <f t="shared" si="310"/>
        <v>171.3</v>
      </c>
      <c r="I1412" s="62">
        <f t="shared" si="312"/>
        <v>0</v>
      </c>
      <c r="J1412" s="49">
        <f t="shared" si="294"/>
        <v>171.3</v>
      </c>
      <c r="K1412" s="62">
        <f t="shared" si="312"/>
        <v>0</v>
      </c>
      <c r="L1412" s="49">
        <f t="shared" si="306"/>
        <v>171.3</v>
      </c>
      <c r="M1412" s="62">
        <f t="shared" si="312"/>
        <v>0</v>
      </c>
      <c r="N1412" s="49">
        <f t="shared" si="296"/>
        <v>171.3</v>
      </c>
    </row>
    <row r="1413" spans="1:14" ht="33" x14ac:dyDescent="0.2">
      <c r="A1413" s="50" t="str">
        <f t="shared" ca="1" si="313"/>
        <v>Иные закупки товаров, работ и услуг для обеспечения государственных (муниципальных) нужд</v>
      </c>
      <c r="B1413" s="79" t="s">
        <v>410</v>
      </c>
      <c r="C1413" s="65" t="s">
        <v>60</v>
      </c>
      <c r="D1413" s="65" t="s">
        <v>78</v>
      </c>
      <c r="E1413" s="26">
        <v>240</v>
      </c>
      <c r="F1413" s="62">
        <f>'прил. 8'!G488</f>
        <v>171.3</v>
      </c>
      <c r="G1413" s="62">
        <f>'прил. 8'!H488</f>
        <v>0</v>
      </c>
      <c r="H1413" s="49">
        <f t="shared" si="310"/>
        <v>171.3</v>
      </c>
      <c r="I1413" s="62">
        <f>'прил. 8'!J488</f>
        <v>0</v>
      </c>
      <c r="J1413" s="49">
        <f t="shared" si="294"/>
        <v>171.3</v>
      </c>
      <c r="K1413" s="62">
        <f>'прил. 8'!L488</f>
        <v>0</v>
      </c>
      <c r="L1413" s="49">
        <f t="shared" si="306"/>
        <v>171.3</v>
      </c>
      <c r="M1413" s="62">
        <f>'прил. 8'!N488</f>
        <v>0</v>
      </c>
      <c r="N1413" s="49">
        <f t="shared" si="296"/>
        <v>171.3</v>
      </c>
    </row>
    <row r="1414" spans="1:14" x14ac:dyDescent="0.2">
      <c r="A1414" s="50" t="str">
        <f ca="1">IF(ISERROR(MATCH(B1414,Код_КЦСР,0)),"",INDIRECT(ADDRESS(MATCH(B1414,Код_КЦСР,0)+1,2,,,"КЦСР")))</f>
        <v>Обеспечение деятельности контрольно-счетной палаты города Череповца</v>
      </c>
      <c r="B1414" s="79" t="s">
        <v>411</v>
      </c>
      <c r="C1414" s="65"/>
      <c r="D1414" s="46"/>
      <c r="E1414" s="26"/>
      <c r="F1414" s="62">
        <f t="shared" ref="F1414:M1414" si="314">F1415</f>
        <v>11616.799999999997</v>
      </c>
      <c r="G1414" s="62">
        <f t="shared" si="314"/>
        <v>0</v>
      </c>
      <c r="H1414" s="49">
        <f t="shared" si="310"/>
        <v>11616.799999999997</v>
      </c>
      <c r="I1414" s="62">
        <f t="shared" si="314"/>
        <v>0</v>
      </c>
      <c r="J1414" s="49">
        <f t="shared" si="294"/>
        <v>11616.799999999997</v>
      </c>
      <c r="K1414" s="62">
        <f t="shared" si="314"/>
        <v>0</v>
      </c>
      <c r="L1414" s="49">
        <f t="shared" si="306"/>
        <v>11616.799999999997</v>
      </c>
      <c r="M1414" s="62">
        <f t="shared" si="314"/>
        <v>0</v>
      </c>
      <c r="N1414" s="49">
        <f t="shared" si="296"/>
        <v>11616.799999999997</v>
      </c>
    </row>
    <row r="1415" spans="1:14" x14ac:dyDescent="0.2">
      <c r="A1415" s="50" t="str">
        <f ca="1">IF(ISERROR(MATCH(B1415,Код_КЦСР,0)),"",INDIRECT(ADDRESS(MATCH(B1415,Код_КЦСР,0)+1,2,,,"КЦСР")))</f>
        <v>Расходы на обеспечение функций органов местного самоуправления</v>
      </c>
      <c r="B1415" s="79" t="s">
        <v>412</v>
      </c>
      <c r="C1415" s="65"/>
      <c r="D1415" s="46"/>
      <c r="E1415" s="26"/>
      <c r="F1415" s="62">
        <f>F1416+F1423</f>
        <v>11616.799999999997</v>
      </c>
      <c r="G1415" s="62">
        <f>G1416+G1423</f>
        <v>0</v>
      </c>
      <c r="H1415" s="49">
        <f t="shared" si="310"/>
        <v>11616.799999999997</v>
      </c>
      <c r="I1415" s="62">
        <f>I1416+I1423</f>
        <v>0</v>
      </c>
      <c r="J1415" s="49">
        <f t="shared" si="294"/>
        <v>11616.799999999997</v>
      </c>
      <c r="K1415" s="62">
        <f>K1416+K1423</f>
        <v>0</v>
      </c>
      <c r="L1415" s="49">
        <f t="shared" si="306"/>
        <v>11616.799999999997</v>
      </c>
      <c r="M1415" s="62">
        <f>M1416+M1423</f>
        <v>0</v>
      </c>
      <c r="N1415" s="49">
        <f t="shared" si="296"/>
        <v>11616.799999999997</v>
      </c>
    </row>
    <row r="1416" spans="1:14" x14ac:dyDescent="0.2">
      <c r="A1416" s="50" t="str">
        <f ca="1">IF(ISERROR(MATCH(C1416,Код_Раздел,0)),"",INDIRECT(ADDRESS(MATCH(C1416,Код_Раздел,0)+1,2,,,"Раздел")))</f>
        <v>Общегосударственные вопросы</v>
      </c>
      <c r="B1416" s="79" t="s">
        <v>412</v>
      </c>
      <c r="C1416" s="65" t="s">
        <v>70</v>
      </c>
      <c r="D1416" s="46"/>
      <c r="E1416" s="26"/>
      <c r="F1416" s="62">
        <f>F1417</f>
        <v>11561.799999999997</v>
      </c>
      <c r="G1416" s="62">
        <f>G1417</f>
        <v>0</v>
      </c>
      <c r="H1416" s="49">
        <f t="shared" si="310"/>
        <v>11561.799999999997</v>
      </c>
      <c r="I1416" s="62">
        <f>I1417</f>
        <v>0</v>
      </c>
      <c r="J1416" s="49">
        <f t="shared" si="294"/>
        <v>11561.799999999997</v>
      </c>
      <c r="K1416" s="62">
        <f>K1417</f>
        <v>0</v>
      </c>
      <c r="L1416" s="49">
        <f t="shared" si="306"/>
        <v>11561.799999999997</v>
      </c>
      <c r="M1416" s="62">
        <f>M1417</f>
        <v>0</v>
      </c>
      <c r="N1416" s="49">
        <f t="shared" si="296"/>
        <v>11561.799999999997</v>
      </c>
    </row>
    <row r="1417" spans="1:14" ht="33" x14ac:dyDescent="0.2">
      <c r="A1417" s="45" t="s">
        <v>36</v>
      </c>
      <c r="B1417" s="79" t="s">
        <v>412</v>
      </c>
      <c r="C1417" s="65" t="s">
        <v>70</v>
      </c>
      <c r="D1417" s="65" t="s">
        <v>74</v>
      </c>
      <c r="E1417" s="26"/>
      <c r="F1417" s="62">
        <f>F1418+F1420</f>
        <v>11561.799999999997</v>
      </c>
      <c r="G1417" s="62">
        <f>G1418+G1420</f>
        <v>0</v>
      </c>
      <c r="H1417" s="49">
        <f t="shared" si="310"/>
        <v>11561.799999999997</v>
      </c>
      <c r="I1417" s="62">
        <f>I1418+I1420</f>
        <v>0</v>
      </c>
      <c r="J1417" s="49">
        <f t="shared" ref="J1417:J1466" si="315">H1417+I1417</f>
        <v>11561.799999999997</v>
      </c>
      <c r="K1417" s="62">
        <f>K1418+K1420</f>
        <v>0</v>
      </c>
      <c r="L1417" s="49">
        <f t="shared" si="306"/>
        <v>11561.799999999997</v>
      </c>
      <c r="M1417" s="62">
        <f>M1418+M1420</f>
        <v>0</v>
      </c>
      <c r="N1417" s="49">
        <f t="shared" si="296"/>
        <v>11561.799999999997</v>
      </c>
    </row>
    <row r="1418" spans="1:14" ht="49.5" x14ac:dyDescent="0.2">
      <c r="A1418" s="50" t="str">
        <f ca="1">IF(ISERROR(MATCH(E1418,Код_КВР,0)),"",INDIRECT(ADDRESS(MATCH(E1418,Код_КВР,0)+1,2,,,"КВР")))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18" s="79" t="s">
        <v>412</v>
      </c>
      <c r="C1418" s="65" t="s">
        <v>70</v>
      </c>
      <c r="D1418" s="65" t="s">
        <v>74</v>
      </c>
      <c r="E1418" s="26">
        <v>100</v>
      </c>
      <c r="F1418" s="62">
        <f t="shared" ref="F1418:M1418" si="316">F1419</f>
        <v>11545.399999999998</v>
      </c>
      <c r="G1418" s="62">
        <f t="shared" si="316"/>
        <v>0</v>
      </c>
      <c r="H1418" s="49">
        <f t="shared" si="310"/>
        <v>11545.399999999998</v>
      </c>
      <c r="I1418" s="62">
        <f t="shared" si="316"/>
        <v>0</v>
      </c>
      <c r="J1418" s="49">
        <f t="shared" si="315"/>
        <v>11545.399999999998</v>
      </c>
      <c r="K1418" s="62">
        <f t="shared" si="316"/>
        <v>0</v>
      </c>
      <c r="L1418" s="49">
        <f t="shared" si="306"/>
        <v>11545.399999999998</v>
      </c>
      <c r="M1418" s="62">
        <f t="shared" si="316"/>
        <v>0</v>
      </c>
      <c r="N1418" s="49">
        <f t="shared" si="296"/>
        <v>11545.399999999998</v>
      </c>
    </row>
    <row r="1419" spans="1:14" x14ac:dyDescent="0.2">
      <c r="A1419" s="50" t="str">
        <f ca="1">IF(ISERROR(MATCH(E1419,Код_КВР,0)),"",INDIRECT(ADDRESS(MATCH(E1419,Код_КВР,0)+1,2,,,"КВР")))</f>
        <v>Расходы на выплаты персоналу государственных (муниципальных) органов</v>
      </c>
      <c r="B1419" s="79" t="s">
        <v>412</v>
      </c>
      <c r="C1419" s="65" t="s">
        <v>70</v>
      </c>
      <c r="D1419" s="65" t="s">
        <v>74</v>
      </c>
      <c r="E1419" s="26">
        <v>120</v>
      </c>
      <c r="F1419" s="62">
        <f>'прил. 8'!G1313</f>
        <v>11545.399999999998</v>
      </c>
      <c r="G1419" s="62">
        <f>'прил. 8'!H1313</f>
        <v>0</v>
      </c>
      <c r="H1419" s="49">
        <f t="shared" si="310"/>
        <v>11545.399999999998</v>
      </c>
      <c r="I1419" s="62">
        <f>'прил. 8'!J1313</f>
        <v>0</v>
      </c>
      <c r="J1419" s="49">
        <f t="shared" si="315"/>
        <v>11545.399999999998</v>
      </c>
      <c r="K1419" s="62">
        <f>'прил. 8'!L1313</f>
        <v>0</v>
      </c>
      <c r="L1419" s="49">
        <f t="shared" si="306"/>
        <v>11545.399999999998</v>
      </c>
      <c r="M1419" s="62">
        <f>'прил. 8'!N1313</f>
        <v>0</v>
      </c>
      <c r="N1419" s="49">
        <f t="shared" si="296"/>
        <v>11545.399999999998</v>
      </c>
    </row>
    <row r="1420" spans="1:14" ht="33" x14ac:dyDescent="0.2">
      <c r="A1420" s="50" t="str">
        <f ca="1">IF(ISERROR(MATCH(E1420,Код_КВР,0)),"",INDIRECT(ADDRESS(MATCH(E1420,Код_КВР,0)+1,2,,,"КВР")))</f>
        <v>Закупка товаров, работ и услуг для обеспечения государственных (муниципальных) нужд</v>
      </c>
      <c r="B1420" s="79" t="s">
        <v>412</v>
      </c>
      <c r="C1420" s="65" t="s">
        <v>70</v>
      </c>
      <c r="D1420" s="65" t="s">
        <v>74</v>
      </c>
      <c r="E1420" s="26">
        <v>200</v>
      </c>
      <c r="F1420" s="62">
        <f>F1421</f>
        <v>16.399999999999999</v>
      </c>
      <c r="G1420" s="62">
        <f>G1421</f>
        <v>0</v>
      </c>
      <c r="H1420" s="49">
        <f t="shared" si="310"/>
        <v>16.399999999999999</v>
      </c>
      <c r="I1420" s="62">
        <f>I1421</f>
        <v>0</v>
      </c>
      <c r="J1420" s="49">
        <f t="shared" si="315"/>
        <v>16.399999999999999</v>
      </c>
      <c r="K1420" s="62">
        <f>K1421</f>
        <v>0</v>
      </c>
      <c r="L1420" s="49">
        <f t="shared" si="306"/>
        <v>16.399999999999999</v>
      </c>
      <c r="M1420" s="62">
        <f>M1421</f>
        <v>0</v>
      </c>
      <c r="N1420" s="49">
        <f t="shared" si="296"/>
        <v>16.399999999999999</v>
      </c>
    </row>
    <row r="1421" spans="1:14" ht="33" x14ac:dyDescent="0.2">
      <c r="A1421" s="50" t="str">
        <f ca="1">IF(ISERROR(MATCH(E1421,Код_КВР,0)),"",INDIRECT(ADDRESS(MATCH(E1421,Код_КВР,0)+1,2,,,"КВР")))</f>
        <v>Иные закупки товаров, работ и услуг для обеспечения государственных (муниципальных) нужд</v>
      </c>
      <c r="B1421" s="79" t="s">
        <v>412</v>
      </c>
      <c r="C1421" s="65" t="s">
        <v>70</v>
      </c>
      <c r="D1421" s="65" t="s">
        <v>74</v>
      </c>
      <c r="E1421" s="26">
        <v>240</v>
      </c>
      <c r="F1421" s="62">
        <f>'прил. 8'!G1315</f>
        <v>16.399999999999999</v>
      </c>
      <c r="G1421" s="62">
        <f>'прил. 8'!H1315</f>
        <v>0</v>
      </c>
      <c r="H1421" s="49">
        <f t="shared" si="310"/>
        <v>16.399999999999999</v>
      </c>
      <c r="I1421" s="62">
        <f>'прил. 8'!J1315</f>
        <v>0</v>
      </c>
      <c r="J1421" s="49">
        <f t="shared" si="315"/>
        <v>16.399999999999999</v>
      </c>
      <c r="K1421" s="62">
        <f>'прил. 8'!L1315</f>
        <v>0</v>
      </c>
      <c r="L1421" s="49">
        <f t="shared" si="306"/>
        <v>16.399999999999999</v>
      </c>
      <c r="M1421" s="62">
        <f>'прил. 8'!N1315</f>
        <v>0</v>
      </c>
      <c r="N1421" s="49">
        <f t="shared" si="296"/>
        <v>16.399999999999999</v>
      </c>
    </row>
    <row r="1422" spans="1:14" x14ac:dyDescent="0.2">
      <c r="A1422" s="50" t="str">
        <f ca="1">IF(ISERROR(MATCH(C1422,Код_Раздел,0)),"",INDIRECT(ADDRESS(MATCH(C1422,Код_Раздел,0)+1,2,,,"Раздел")))</f>
        <v>Образование</v>
      </c>
      <c r="B1422" s="79" t="s">
        <v>412</v>
      </c>
      <c r="C1422" s="65" t="s">
        <v>60</v>
      </c>
      <c r="D1422" s="46"/>
      <c r="E1422" s="26"/>
      <c r="F1422" s="62">
        <f t="shared" ref="F1422:M1424" si="317">F1423</f>
        <v>55</v>
      </c>
      <c r="G1422" s="62">
        <f t="shared" si="317"/>
        <v>0</v>
      </c>
      <c r="H1422" s="49">
        <f t="shared" si="310"/>
        <v>55</v>
      </c>
      <c r="I1422" s="62">
        <f t="shared" si="317"/>
        <v>0</v>
      </c>
      <c r="J1422" s="49">
        <f t="shared" si="315"/>
        <v>55</v>
      </c>
      <c r="K1422" s="62">
        <f t="shared" si="317"/>
        <v>0</v>
      </c>
      <c r="L1422" s="49">
        <f t="shared" si="306"/>
        <v>55</v>
      </c>
      <c r="M1422" s="62">
        <f t="shared" si="317"/>
        <v>0</v>
      </c>
      <c r="N1422" s="49">
        <f t="shared" si="296"/>
        <v>55</v>
      </c>
    </row>
    <row r="1423" spans="1:14" x14ac:dyDescent="0.2">
      <c r="A1423" s="45" t="s">
        <v>532</v>
      </c>
      <c r="B1423" s="79" t="s">
        <v>412</v>
      </c>
      <c r="C1423" s="65" t="s">
        <v>60</v>
      </c>
      <c r="D1423" s="65" t="s">
        <v>78</v>
      </c>
      <c r="E1423" s="26"/>
      <c r="F1423" s="62">
        <f t="shared" si="317"/>
        <v>55</v>
      </c>
      <c r="G1423" s="62">
        <f t="shared" si="317"/>
        <v>0</v>
      </c>
      <c r="H1423" s="49">
        <f t="shared" si="310"/>
        <v>55</v>
      </c>
      <c r="I1423" s="62">
        <f t="shared" si="317"/>
        <v>0</v>
      </c>
      <c r="J1423" s="49">
        <f t="shared" si="315"/>
        <v>55</v>
      </c>
      <c r="K1423" s="62">
        <f t="shared" si="317"/>
        <v>0</v>
      </c>
      <c r="L1423" s="49">
        <f t="shared" si="306"/>
        <v>55</v>
      </c>
      <c r="M1423" s="62">
        <f t="shared" si="317"/>
        <v>0</v>
      </c>
      <c r="N1423" s="49">
        <f t="shared" si="296"/>
        <v>55</v>
      </c>
    </row>
    <row r="1424" spans="1:14" ht="33" x14ac:dyDescent="0.2">
      <c r="A1424" s="50" t="str">
        <f ca="1">IF(ISERROR(MATCH(E1424,Код_КВР,0)),"",INDIRECT(ADDRESS(MATCH(E1424,Код_КВР,0)+1,2,,,"КВР")))</f>
        <v>Закупка товаров, работ и услуг для обеспечения государственных (муниципальных) нужд</v>
      </c>
      <c r="B1424" s="79" t="s">
        <v>412</v>
      </c>
      <c r="C1424" s="65" t="s">
        <v>60</v>
      </c>
      <c r="D1424" s="65" t="s">
        <v>78</v>
      </c>
      <c r="E1424" s="26">
        <v>200</v>
      </c>
      <c r="F1424" s="62">
        <f t="shared" si="317"/>
        <v>55</v>
      </c>
      <c r="G1424" s="62">
        <f t="shared" si="317"/>
        <v>0</v>
      </c>
      <c r="H1424" s="49">
        <f t="shared" si="310"/>
        <v>55</v>
      </c>
      <c r="I1424" s="62">
        <f t="shared" si="317"/>
        <v>0</v>
      </c>
      <c r="J1424" s="49">
        <f t="shared" si="315"/>
        <v>55</v>
      </c>
      <c r="K1424" s="62">
        <f t="shared" si="317"/>
        <v>0</v>
      </c>
      <c r="L1424" s="49">
        <f t="shared" si="306"/>
        <v>55</v>
      </c>
      <c r="M1424" s="62">
        <f t="shared" si="317"/>
        <v>0</v>
      </c>
      <c r="N1424" s="49">
        <f t="shared" si="296"/>
        <v>55</v>
      </c>
    </row>
    <row r="1425" spans="1:14" ht="33" x14ac:dyDescent="0.2">
      <c r="A1425" s="50" t="str">
        <f ca="1">IF(ISERROR(MATCH(E1425,Код_КВР,0)),"",INDIRECT(ADDRESS(MATCH(E1425,Код_КВР,0)+1,2,,,"КВР")))</f>
        <v>Иные закупки товаров, работ и услуг для обеспечения государственных (муниципальных) нужд</v>
      </c>
      <c r="B1425" s="79" t="s">
        <v>412</v>
      </c>
      <c r="C1425" s="65" t="s">
        <v>60</v>
      </c>
      <c r="D1425" s="65" t="s">
        <v>78</v>
      </c>
      <c r="E1425" s="26">
        <v>240</v>
      </c>
      <c r="F1425" s="62">
        <f>'прил. 8'!G1322</f>
        <v>55</v>
      </c>
      <c r="G1425" s="62">
        <f>'прил. 8'!H1322</f>
        <v>0</v>
      </c>
      <c r="H1425" s="49">
        <f t="shared" si="310"/>
        <v>55</v>
      </c>
      <c r="I1425" s="62">
        <f>'прил. 8'!J1322</f>
        <v>0</v>
      </c>
      <c r="J1425" s="49">
        <f t="shared" si="315"/>
        <v>55</v>
      </c>
      <c r="K1425" s="62">
        <f>'прил. 8'!L1322</f>
        <v>0</v>
      </c>
      <c r="L1425" s="49">
        <f t="shared" si="306"/>
        <v>55</v>
      </c>
      <c r="M1425" s="62">
        <f>'прил. 8'!N1322</f>
        <v>0</v>
      </c>
      <c r="N1425" s="49">
        <f t="shared" si="296"/>
        <v>55</v>
      </c>
    </row>
    <row r="1426" spans="1:14" ht="33" x14ac:dyDescent="0.2">
      <c r="A1426" s="50" t="str">
        <f ca="1">IF(ISERROR(MATCH(B1426,Код_КЦСР,0)),"",INDIRECT(ADDRESS(MATCH(B1426,Код_КЦСР,0)+1,2,,,"КЦСР")))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1426" s="79" t="s">
        <v>415</v>
      </c>
      <c r="C1426" s="65"/>
      <c r="D1426" s="46"/>
      <c r="E1426" s="26"/>
      <c r="F1426" s="62">
        <f>F1427+F1436</f>
        <v>171.2</v>
      </c>
      <c r="G1426" s="62">
        <f>G1427+G1436</f>
        <v>0</v>
      </c>
      <c r="H1426" s="49">
        <f t="shared" si="310"/>
        <v>171.2</v>
      </c>
      <c r="I1426" s="62">
        <f>I1427+I1436</f>
        <v>0</v>
      </c>
      <c r="J1426" s="49">
        <f t="shared" si="315"/>
        <v>171.2</v>
      </c>
      <c r="K1426" s="62">
        <f>K1427+K1436</f>
        <v>0</v>
      </c>
      <c r="L1426" s="49">
        <f t="shared" si="306"/>
        <v>171.2</v>
      </c>
      <c r="M1426" s="62">
        <f>M1427+M1436</f>
        <v>0</v>
      </c>
      <c r="N1426" s="49">
        <f t="shared" ref="N1426:N1466" si="318">L1426+M1426</f>
        <v>171.2</v>
      </c>
    </row>
    <row r="1427" spans="1:14" x14ac:dyDescent="0.2">
      <c r="A1427" s="50" t="str">
        <f ca="1">IF(ISERROR(MATCH(B1427,Код_КЦСР,0)),"",INDIRECT(ADDRESS(MATCH(B1427,Код_КЦСР,0)+1,2,,,"КЦСР")))</f>
        <v>Расходы на судебные издержки и исполнение судебных решений</v>
      </c>
      <c r="B1427" s="79" t="s">
        <v>416</v>
      </c>
      <c r="C1427" s="65"/>
      <c r="D1427" s="46"/>
      <c r="E1427" s="26"/>
      <c r="F1427" s="62">
        <f>F1428+F1432</f>
        <v>170.5</v>
      </c>
      <c r="G1427" s="62">
        <f>G1428+G1432</f>
        <v>0</v>
      </c>
      <c r="H1427" s="49">
        <f t="shared" si="310"/>
        <v>170.5</v>
      </c>
      <c r="I1427" s="62">
        <f>I1428+I1432</f>
        <v>0</v>
      </c>
      <c r="J1427" s="49">
        <f t="shared" si="315"/>
        <v>170.5</v>
      </c>
      <c r="K1427" s="62">
        <f>K1428+K1432</f>
        <v>0</v>
      </c>
      <c r="L1427" s="49">
        <f t="shared" si="306"/>
        <v>170.5</v>
      </c>
      <c r="M1427" s="62">
        <f>M1428+M1432</f>
        <v>0</v>
      </c>
      <c r="N1427" s="49">
        <f t="shared" si="318"/>
        <v>170.5</v>
      </c>
    </row>
    <row r="1428" spans="1:14" x14ac:dyDescent="0.2">
      <c r="A1428" s="50" t="str">
        <f ca="1">IF(ISERROR(MATCH(C1428,Код_Раздел,0)),"",INDIRECT(ADDRESS(MATCH(C1428,Код_Раздел,0)+1,2,,,"Раздел")))</f>
        <v>Общегосударственные вопросы</v>
      </c>
      <c r="B1428" s="79" t="s">
        <v>416</v>
      </c>
      <c r="C1428" s="65" t="s">
        <v>70</v>
      </c>
      <c r="D1428" s="46"/>
      <c r="E1428" s="26"/>
      <c r="F1428" s="62">
        <f t="shared" ref="F1428:M1430" si="319">F1429</f>
        <v>150</v>
      </c>
      <c r="G1428" s="62">
        <f t="shared" si="319"/>
        <v>0</v>
      </c>
      <c r="H1428" s="49">
        <f t="shared" si="310"/>
        <v>150</v>
      </c>
      <c r="I1428" s="62">
        <f t="shared" si="319"/>
        <v>0</v>
      </c>
      <c r="J1428" s="49">
        <f t="shared" si="315"/>
        <v>150</v>
      </c>
      <c r="K1428" s="62">
        <f t="shared" si="319"/>
        <v>0</v>
      </c>
      <c r="L1428" s="49">
        <f t="shared" si="306"/>
        <v>150</v>
      </c>
      <c r="M1428" s="62">
        <f t="shared" si="319"/>
        <v>0</v>
      </c>
      <c r="N1428" s="49">
        <f t="shared" si="318"/>
        <v>150</v>
      </c>
    </row>
    <row r="1429" spans="1:14" x14ac:dyDescent="0.2">
      <c r="A1429" s="45" t="s">
        <v>91</v>
      </c>
      <c r="B1429" s="79" t="s">
        <v>416</v>
      </c>
      <c r="C1429" s="65" t="s">
        <v>70</v>
      </c>
      <c r="D1429" s="65" t="s">
        <v>55</v>
      </c>
      <c r="E1429" s="26"/>
      <c r="F1429" s="62">
        <f t="shared" si="319"/>
        <v>150</v>
      </c>
      <c r="G1429" s="62">
        <f t="shared" si="319"/>
        <v>0</v>
      </c>
      <c r="H1429" s="49">
        <f t="shared" si="310"/>
        <v>150</v>
      </c>
      <c r="I1429" s="62">
        <f t="shared" si="319"/>
        <v>0</v>
      </c>
      <c r="J1429" s="49">
        <f t="shared" si="315"/>
        <v>150</v>
      </c>
      <c r="K1429" s="62">
        <f t="shared" si="319"/>
        <v>0</v>
      </c>
      <c r="L1429" s="49">
        <f t="shared" si="306"/>
        <v>150</v>
      </c>
      <c r="M1429" s="62">
        <f t="shared" si="319"/>
        <v>0</v>
      </c>
      <c r="N1429" s="49">
        <f t="shared" si="318"/>
        <v>150</v>
      </c>
    </row>
    <row r="1430" spans="1:14" x14ac:dyDescent="0.2">
      <c r="A1430" s="50" t="str">
        <f ca="1">IF(ISERROR(MATCH(E1430,Код_КВР,0)),"",INDIRECT(ADDRESS(MATCH(E1430,Код_КВР,0)+1,2,,,"КВР")))</f>
        <v>Иные бюджетные ассигнования</v>
      </c>
      <c r="B1430" s="79" t="s">
        <v>416</v>
      </c>
      <c r="C1430" s="65" t="s">
        <v>70</v>
      </c>
      <c r="D1430" s="65" t="s">
        <v>55</v>
      </c>
      <c r="E1430" s="26">
        <v>800</v>
      </c>
      <c r="F1430" s="62">
        <f t="shared" si="319"/>
        <v>150</v>
      </c>
      <c r="G1430" s="62">
        <f t="shared" si="319"/>
        <v>0</v>
      </c>
      <c r="H1430" s="49">
        <f t="shared" si="310"/>
        <v>150</v>
      </c>
      <c r="I1430" s="62">
        <f t="shared" si="319"/>
        <v>0</v>
      </c>
      <c r="J1430" s="49">
        <f t="shared" si="315"/>
        <v>150</v>
      </c>
      <c r="K1430" s="62">
        <f t="shared" si="319"/>
        <v>0</v>
      </c>
      <c r="L1430" s="49">
        <f t="shared" si="306"/>
        <v>150</v>
      </c>
      <c r="M1430" s="62">
        <f t="shared" si="319"/>
        <v>0</v>
      </c>
      <c r="N1430" s="49">
        <f t="shared" si="318"/>
        <v>150</v>
      </c>
    </row>
    <row r="1431" spans="1:14" x14ac:dyDescent="0.2">
      <c r="A1431" s="50" t="str">
        <f ca="1">IF(ISERROR(MATCH(E1431,Код_КВР,0)),"",INDIRECT(ADDRESS(MATCH(E1431,Код_КВР,0)+1,2,,,"КВР")))</f>
        <v>Исполнение судебных актов</v>
      </c>
      <c r="B1431" s="79" t="s">
        <v>416</v>
      </c>
      <c r="C1431" s="65" t="s">
        <v>70</v>
      </c>
      <c r="D1431" s="65" t="s">
        <v>55</v>
      </c>
      <c r="E1431" s="26">
        <v>830</v>
      </c>
      <c r="F1431" s="62">
        <f>'прил. 8'!G137+'прил. 8'!G925+'прил. 8'!G480</f>
        <v>150</v>
      </c>
      <c r="G1431" s="62">
        <f>'прил. 8'!H137+'прил. 8'!H925+'прил. 8'!H480</f>
        <v>0</v>
      </c>
      <c r="H1431" s="49">
        <f t="shared" si="310"/>
        <v>150</v>
      </c>
      <c r="I1431" s="62">
        <f>'прил. 8'!J137+'прил. 8'!J925+'прил. 8'!J480</f>
        <v>0</v>
      </c>
      <c r="J1431" s="49">
        <f t="shared" si="315"/>
        <v>150</v>
      </c>
      <c r="K1431" s="62">
        <f>'прил. 8'!L137+'прил. 8'!L925+'прил. 8'!L480</f>
        <v>0</v>
      </c>
      <c r="L1431" s="49">
        <f t="shared" si="306"/>
        <v>150</v>
      </c>
      <c r="M1431" s="62">
        <f>'прил. 8'!N137+'прил. 8'!N925+'прил. 8'!N480</f>
        <v>0</v>
      </c>
      <c r="N1431" s="49">
        <f t="shared" si="318"/>
        <v>150</v>
      </c>
    </row>
    <row r="1432" spans="1:14" x14ac:dyDescent="0.2">
      <c r="A1432" s="50" t="str">
        <f ca="1">IF(ISERROR(MATCH(C1432,Код_Раздел,0)),"",INDIRECT(ADDRESS(MATCH(C1432,Код_Раздел,0)+1,2,,,"Раздел")))</f>
        <v>Жилищно-коммунальное хозяйство</v>
      </c>
      <c r="B1432" s="79" t="s">
        <v>416</v>
      </c>
      <c r="C1432" s="65" t="s">
        <v>78</v>
      </c>
      <c r="D1432" s="46"/>
      <c r="E1432" s="26"/>
      <c r="F1432" s="62">
        <f t="shared" ref="F1432:M1434" si="320">F1433</f>
        <v>20.5</v>
      </c>
      <c r="G1432" s="62">
        <f t="shared" si="320"/>
        <v>0</v>
      </c>
      <c r="H1432" s="49">
        <f t="shared" si="310"/>
        <v>20.5</v>
      </c>
      <c r="I1432" s="62">
        <f t="shared" si="320"/>
        <v>0</v>
      </c>
      <c r="J1432" s="49">
        <f t="shared" si="315"/>
        <v>20.5</v>
      </c>
      <c r="K1432" s="62">
        <f t="shared" si="320"/>
        <v>0</v>
      </c>
      <c r="L1432" s="49">
        <f t="shared" si="306"/>
        <v>20.5</v>
      </c>
      <c r="M1432" s="62">
        <f t="shared" si="320"/>
        <v>0</v>
      </c>
      <c r="N1432" s="49">
        <f t="shared" si="318"/>
        <v>20.5</v>
      </c>
    </row>
    <row r="1433" spans="1:14" x14ac:dyDescent="0.2">
      <c r="A1433" s="45" t="s">
        <v>35</v>
      </c>
      <c r="B1433" s="79" t="s">
        <v>416</v>
      </c>
      <c r="C1433" s="65" t="s">
        <v>78</v>
      </c>
      <c r="D1433" s="46" t="s">
        <v>78</v>
      </c>
      <c r="E1433" s="26"/>
      <c r="F1433" s="62">
        <f t="shared" si="320"/>
        <v>20.5</v>
      </c>
      <c r="G1433" s="62">
        <f t="shared" si="320"/>
        <v>0</v>
      </c>
      <c r="H1433" s="49">
        <f t="shared" si="310"/>
        <v>20.5</v>
      </c>
      <c r="I1433" s="62">
        <f t="shared" si="320"/>
        <v>0</v>
      </c>
      <c r="J1433" s="49">
        <f t="shared" si="315"/>
        <v>20.5</v>
      </c>
      <c r="K1433" s="62">
        <f t="shared" si="320"/>
        <v>0</v>
      </c>
      <c r="L1433" s="49">
        <f t="shared" si="306"/>
        <v>20.5</v>
      </c>
      <c r="M1433" s="62">
        <f t="shared" si="320"/>
        <v>0</v>
      </c>
      <c r="N1433" s="49">
        <f t="shared" si="318"/>
        <v>20.5</v>
      </c>
    </row>
    <row r="1434" spans="1:14" x14ac:dyDescent="0.2">
      <c r="A1434" s="50" t="str">
        <f ca="1">IF(ISERROR(MATCH(E1434,Код_КВР,0)),"",INDIRECT(ADDRESS(MATCH(E1434,Код_КВР,0)+1,2,,,"КВР")))</f>
        <v>Иные бюджетные ассигнования</v>
      </c>
      <c r="B1434" s="79" t="s">
        <v>416</v>
      </c>
      <c r="C1434" s="65" t="s">
        <v>78</v>
      </c>
      <c r="D1434" s="46" t="s">
        <v>78</v>
      </c>
      <c r="E1434" s="26">
        <v>800</v>
      </c>
      <c r="F1434" s="62">
        <f t="shared" si="320"/>
        <v>20.5</v>
      </c>
      <c r="G1434" s="62">
        <f t="shared" si="320"/>
        <v>0</v>
      </c>
      <c r="H1434" s="49">
        <f t="shared" si="310"/>
        <v>20.5</v>
      </c>
      <c r="I1434" s="62">
        <f t="shared" si="320"/>
        <v>0</v>
      </c>
      <c r="J1434" s="49">
        <f t="shared" si="315"/>
        <v>20.5</v>
      </c>
      <c r="K1434" s="62">
        <f t="shared" si="320"/>
        <v>0</v>
      </c>
      <c r="L1434" s="49">
        <f t="shared" si="306"/>
        <v>20.5</v>
      </c>
      <c r="M1434" s="62">
        <f t="shared" si="320"/>
        <v>0</v>
      </c>
      <c r="N1434" s="49">
        <f t="shared" si="318"/>
        <v>20.5</v>
      </c>
    </row>
    <row r="1435" spans="1:14" x14ac:dyDescent="0.2">
      <c r="A1435" s="50" t="str">
        <f ca="1">IF(ISERROR(MATCH(E1435,Код_КВР,0)),"",INDIRECT(ADDRESS(MATCH(E1435,Код_КВР,0)+1,2,,,"КВР")))</f>
        <v>Исполнение судебных актов</v>
      </c>
      <c r="B1435" s="79" t="s">
        <v>416</v>
      </c>
      <c r="C1435" s="65" t="s">
        <v>78</v>
      </c>
      <c r="D1435" s="46" t="s">
        <v>78</v>
      </c>
      <c r="E1435" s="26">
        <v>830</v>
      </c>
      <c r="F1435" s="62">
        <f>'прил. 8'!G595</f>
        <v>20.5</v>
      </c>
      <c r="G1435" s="62">
        <f>'прил. 8'!H595</f>
        <v>0</v>
      </c>
      <c r="H1435" s="49">
        <f t="shared" si="310"/>
        <v>20.5</v>
      </c>
      <c r="I1435" s="62">
        <f>'прил. 8'!J595</f>
        <v>0</v>
      </c>
      <c r="J1435" s="49">
        <f t="shared" si="315"/>
        <v>20.5</v>
      </c>
      <c r="K1435" s="62">
        <f>'прил. 8'!L595</f>
        <v>0</v>
      </c>
      <c r="L1435" s="49">
        <f t="shared" si="306"/>
        <v>20.5</v>
      </c>
      <c r="M1435" s="62">
        <f>'прил. 8'!N595</f>
        <v>0</v>
      </c>
      <c r="N1435" s="49">
        <f t="shared" si="318"/>
        <v>20.5</v>
      </c>
    </row>
    <row r="1436" spans="1:14" x14ac:dyDescent="0.2">
      <c r="A1436" s="50" t="str">
        <f ca="1">IF(ISERROR(MATCH(B1436,Код_КЦСР,0)),"",INDIRECT(ADDRESS(MATCH(B1436,Код_КЦСР,0)+1,2,,,"КЦСР")))</f>
        <v>Выполнение других обязательств органов местного самоуправления</v>
      </c>
      <c r="B1436" s="79" t="s">
        <v>417</v>
      </c>
      <c r="C1436" s="65"/>
      <c r="D1436" s="46"/>
      <c r="E1436" s="26"/>
      <c r="F1436" s="62">
        <f>F1437</f>
        <v>0.7</v>
      </c>
      <c r="G1436" s="62">
        <f>G1437</f>
        <v>0</v>
      </c>
      <c r="H1436" s="49">
        <f t="shared" si="310"/>
        <v>0.7</v>
      </c>
      <c r="I1436" s="62">
        <f>I1437</f>
        <v>0</v>
      </c>
      <c r="J1436" s="49">
        <f t="shared" si="315"/>
        <v>0.7</v>
      </c>
      <c r="K1436" s="62">
        <f>K1437</f>
        <v>0</v>
      </c>
      <c r="L1436" s="49">
        <f t="shared" si="306"/>
        <v>0.7</v>
      </c>
      <c r="M1436" s="62">
        <f>M1437</f>
        <v>0</v>
      </c>
      <c r="N1436" s="49">
        <f t="shared" si="318"/>
        <v>0.7</v>
      </c>
    </row>
    <row r="1437" spans="1:14" x14ac:dyDescent="0.2">
      <c r="A1437" s="50" t="str">
        <f ca="1">IF(ISERROR(MATCH(C1437,Код_Раздел,0)),"",INDIRECT(ADDRESS(MATCH(C1437,Код_Раздел,0)+1,2,,,"Раздел")))</f>
        <v>Общегосударственные вопросы</v>
      </c>
      <c r="B1437" s="79" t="s">
        <v>417</v>
      </c>
      <c r="C1437" s="65" t="s">
        <v>70</v>
      </c>
      <c r="D1437" s="46"/>
      <c r="E1437" s="26"/>
      <c r="F1437" s="62">
        <f t="shared" ref="F1437:M1439" si="321">F1438</f>
        <v>0.7</v>
      </c>
      <c r="G1437" s="62">
        <f t="shared" si="321"/>
        <v>0</v>
      </c>
      <c r="H1437" s="49">
        <f t="shared" si="310"/>
        <v>0.7</v>
      </c>
      <c r="I1437" s="62">
        <f t="shared" si="321"/>
        <v>0</v>
      </c>
      <c r="J1437" s="49">
        <f t="shared" si="315"/>
        <v>0.7</v>
      </c>
      <c r="K1437" s="62">
        <f t="shared" si="321"/>
        <v>0</v>
      </c>
      <c r="L1437" s="49">
        <f t="shared" si="306"/>
        <v>0.7</v>
      </c>
      <c r="M1437" s="62">
        <f t="shared" si="321"/>
        <v>0</v>
      </c>
      <c r="N1437" s="49">
        <f t="shared" si="318"/>
        <v>0.7</v>
      </c>
    </row>
    <row r="1438" spans="1:14" x14ac:dyDescent="0.2">
      <c r="A1438" s="45" t="s">
        <v>91</v>
      </c>
      <c r="B1438" s="79" t="s">
        <v>417</v>
      </c>
      <c r="C1438" s="65" t="s">
        <v>70</v>
      </c>
      <c r="D1438" s="46" t="s">
        <v>55</v>
      </c>
      <c r="E1438" s="26"/>
      <c r="F1438" s="62">
        <f t="shared" si="321"/>
        <v>0.7</v>
      </c>
      <c r="G1438" s="62">
        <f t="shared" si="321"/>
        <v>0</v>
      </c>
      <c r="H1438" s="49">
        <f t="shared" si="310"/>
        <v>0.7</v>
      </c>
      <c r="I1438" s="62">
        <f t="shared" si="321"/>
        <v>0</v>
      </c>
      <c r="J1438" s="49">
        <f t="shared" si="315"/>
        <v>0.7</v>
      </c>
      <c r="K1438" s="62">
        <f t="shared" si="321"/>
        <v>0</v>
      </c>
      <c r="L1438" s="49">
        <f t="shared" si="306"/>
        <v>0.7</v>
      </c>
      <c r="M1438" s="62">
        <f t="shared" si="321"/>
        <v>0</v>
      </c>
      <c r="N1438" s="49">
        <f t="shared" si="318"/>
        <v>0.7</v>
      </c>
    </row>
    <row r="1439" spans="1:14" x14ac:dyDescent="0.2">
      <c r="A1439" s="50" t="str">
        <f ca="1">IF(ISERROR(MATCH(E1439,Код_КВР,0)),"",INDIRECT(ADDRESS(MATCH(E1439,Код_КВР,0)+1,2,,,"КВР")))</f>
        <v>Иные бюджетные ассигнования</v>
      </c>
      <c r="B1439" s="79" t="s">
        <v>417</v>
      </c>
      <c r="C1439" s="65" t="s">
        <v>70</v>
      </c>
      <c r="D1439" s="46" t="s">
        <v>55</v>
      </c>
      <c r="E1439" s="26">
        <v>800</v>
      </c>
      <c r="F1439" s="62">
        <f t="shared" si="321"/>
        <v>0.7</v>
      </c>
      <c r="G1439" s="62">
        <f t="shared" si="321"/>
        <v>0</v>
      </c>
      <c r="H1439" s="49">
        <f t="shared" si="310"/>
        <v>0.7</v>
      </c>
      <c r="I1439" s="62">
        <f t="shared" si="321"/>
        <v>0</v>
      </c>
      <c r="J1439" s="49">
        <f t="shared" si="315"/>
        <v>0.7</v>
      </c>
      <c r="K1439" s="62">
        <f t="shared" si="321"/>
        <v>0</v>
      </c>
      <c r="L1439" s="49">
        <f t="shared" si="306"/>
        <v>0.7</v>
      </c>
      <c r="M1439" s="62">
        <f t="shared" si="321"/>
        <v>0</v>
      </c>
      <c r="N1439" s="49">
        <f t="shared" si="318"/>
        <v>0.7</v>
      </c>
    </row>
    <row r="1440" spans="1:14" x14ac:dyDescent="0.2">
      <c r="A1440" s="50" t="str">
        <f ca="1">IF(ISERROR(MATCH(E1440,Код_КВР,0)),"",INDIRECT(ADDRESS(MATCH(E1440,Код_КВР,0)+1,2,,,"КВР")))</f>
        <v>Уплата налогов, сборов и иных платежей</v>
      </c>
      <c r="B1440" s="79" t="s">
        <v>417</v>
      </c>
      <c r="C1440" s="65" t="s">
        <v>70</v>
      </c>
      <c r="D1440" s="46" t="s">
        <v>55</v>
      </c>
      <c r="E1440" s="26">
        <v>850</v>
      </c>
      <c r="F1440" s="62">
        <f>'прил. 8'!G140</f>
        <v>0.7</v>
      </c>
      <c r="G1440" s="62">
        <f>'прил. 8'!H140</f>
        <v>0</v>
      </c>
      <c r="H1440" s="49">
        <f t="shared" si="310"/>
        <v>0.7</v>
      </c>
      <c r="I1440" s="62">
        <f>'прил. 8'!J140</f>
        <v>0</v>
      </c>
      <c r="J1440" s="49">
        <f t="shared" si="315"/>
        <v>0.7</v>
      </c>
      <c r="K1440" s="62">
        <f>'прил. 8'!L140</f>
        <v>0</v>
      </c>
      <c r="L1440" s="49">
        <f t="shared" si="306"/>
        <v>0.7</v>
      </c>
      <c r="M1440" s="62">
        <f>'прил. 8'!N140</f>
        <v>0</v>
      </c>
      <c r="N1440" s="49">
        <f t="shared" si="318"/>
        <v>0.7</v>
      </c>
    </row>
    <row r="1441" spans="1:14" x14ac:dyDescent="0.2">
      <c r="A1441" s="50" t="str">
        <f ca="1">IF(ISERROR(MATCH(B1441,Код_КЦСР,0)),"",INDIRECT(ADDRESS(MATCH(B1441,Код_КЦСР,0)+1,2,,,"КЦСР")))</f>
        <v>Резервные фонды</v>
      </c>
      <c r="B1441" s="79" t="s">
        <v>418</v>
      </c>
      <c r="C1441" s="65"/>
      <c r="D1441" s="46"/>
      <c r="E1441" s="26"/>
      <c r="F1441" s="62">
        <f t="shared" ref="F1441:M1442" si="322">F1442</f>
        <v>29000</v>
      </c>
      <c r="G1441" s="62">
        <f t="shared" si="322"/>
        <v>-18553.599999999999</v>
      </c>
      <c r="H1441" s="49">
        <f t="shared" si="310"/>
        <v>10446.400000000001</v>
      </c>
      <c r="I1441" s="62">
        <f t="shared" si="322"/>
        <v>41142.9</v>
      </c>
      <c r="J1441" s="49">
        <f t="shared" si="315"/>
        <v>51589.3</v>
      </c>
      <c r="K1441" s="62">
        <f t="shared" si="322"/>
        <v>-14176.5</v>
      </c>
      <c r="L1441" s="49">
        <f t="shared" si="306"/>
        <v>37412.800000000003</v>
      </c>
      <c r="M1441" s="62">
        <f t="shared" si="322"/>
        <v>-29257.4</v>
      </c>
      <c r="N1441" s="49">
        <f t="shared" si="318"/>
        <v>8155.4000000000015</v>
      </c>
    </row>
    <row r="1442" spans="1:14" x14ac:dyDescent="0.2">
      <c r="A1442" s="50" t="str">
        <f ca="1">IF(ISERROR(MATCH(B1442,Код_КЦСР,0)),"",INDIRECT(ADDRESS(MATCH(B1442,Код_КЦСР,0)+1,2,,,"КЦСР")))</f>
        <v>Резервный фонд мэрии города</v>
      </c>
      <c r="B1442" s="79" t="s">
        <v>419</v>
      </c>
      <c r="C1442" s="65"/>
      <c r="D1442" s="46"/>
      <c r="E1442" s="26"/>
      <c r="F1442" s="62">
        <f t="shared" si="322"/>
        <v>29000</v>
      </c>
      <c r="G1442" s="62">
        <f t="shared" si="322"/>
        <v>-18553.599999999999</v>
      </c>
      <c r="H1442" s="49">
        <f t="shared" si="310"/>
        <v>10446.400000000001</v>
      </c>
      <c r="I1442" s="62">
        <f t="shared" si="322"/>
        <v>41142.9</v>
      </c>
      <c r="J1442" s="49">
        <f t="shared" si="315"/>
        <v>51589.3</v>
      </c>
      <c r="K1442" s="62">
        <f t="shared" si="322"/>
        <v>-14176.5</v>
      </c>
      <c r="L1442" s="49">
        <f t="shared" si="306"/>
        <v>37412.800000000003</v>
      </c>
      <c r="M1442" s="62">
        <f t="shared" si="322"/>
        <v>-29257.4</v>
      </c>
      <c r="N1442" s="49">
        <f t="shared" si="318"/>
        <v>8155.4000000000015</v>
      </c>
    </row>
    <row r="1443" spans="1:14" x14ac:dyDescent="0.2">
      <c r="A1443" s="50" t="str">
        <f ca="1">IF(ISERROR(MATCH(C1443,Код_Раздел,0)),"",INDIRECT(ADDRESS(MATCH(C1443,Код_Раздел,0)+1,2,,,"Раздел")))</f>
        <v>Общегосударственные вопросы</v>
      </c>
      <c r="B1443" s="79" t="s">
        <v>419</v>
      </c>
      <c r="C1443" s="65" t="s">
        <v>70</v>
      </c>
      <c r="D1443" s="46"/>
      <c r="E1443" s="26"/>
      <c r="F1443" s="62">
        <f t="shared" ref="F1443:M1445" si="323">F1444</f>
        <v>29000</v>
      </c>
      <c r="G1443" s="62">
        <f t="shared" si="323"/>
        <v>-18553.599999999999</v>
      </c>
      <c r="H1443" s="49">
        <f t="shared" si="310"/>
        <v>10446.400000000001</v>
      </c>
      <c r="I1443" s="62">
        <f t="shared" si="323"/>
        <v>41142.9</v>
      </c>
      <c r="J1443" s="49">
        <f t="shared" si="315"/>
        <v>51589.3</v>
      </c>
      <c r="K1443" s="62">
        <f t="shared" si="323"/>
        <v>-14176.5</v>
      </c>
      <c r="L1443" s="49">
        <f t="shared" si="306"/>
        <v>37412.800000000003</v>
      </c>
      <c r="M1443" s="62">
        <f t="shared" si="323"/>
        <v>-29257.4</v>
      </c>
      <c r="N1443" s="49">
        <f t="shared" si="318"/>
        <v>8155.4000000000015</v>
      </c>
    </row>
    <row r="1444" spans="1:14" x14ac:dyDescent="0.2">
      <c r="A1444" s="45" t="s">
        <v>63</v>
      </c>
      <c r="B1444" s="79" t="s">
        <v>419</v>
      </c>
      <c r="C1444" s="65" t="s">
        <v>70</v>
      </c>
      <c r="D1444" s="46" t="s">
        <v>81</v>
      </c>
      <c r="E1444" s="26"/>
      <c r="F1444" s="62">
        <f t="shared" si="323"/>
        <v>29000</v>
      </c>
      <c r="G1444" s="62">
        <f t="shared" si="323"/>
        <v>-18553.599999999999</v>
      </c>
      <c r="H1444" s="49">
        <f t="shared" si="310"/>
        <v>10446.400000000001</v>
      </c>
      <c r="I1444" s="62">
        <f t="shared" si="323"/>
        <v>41142.9</v>
      </c>
      <c r="J1444" s="49">
        <f t="shared" si="315"/>
        <v>51589.3</v>
      </c>
      <c r="K1444" s="62">
        <f t="shared" si="323"/>
        <v>-14176.5</v>
      </c>
      <c r="L1444" s="49">
        <f t="shared" si="306"/>
        <v>37412.800000000003</v>
      </c>
      <c r="M1444" s="62">
        <f t="shared" si="323"/>
        <v>-29257.4</v>
      </c>
      <c r="N1444" s="49">
        <f t="shared" si="318"/>
        <v>8155.4000000000015</v>
      </c>
    </row>
    <row r="1445" spans="1:14" x14ac:dyDescent="0.2">
      <c r="A1445" s="50" t="str">
        <f ca="1">IF(ISERROR(MATCH(E1445,Код_КВР,0)),"",INDIRECT(ADDRESS(MATCH(E1445,Код_КВР,0)+1,2,,,"КВР")))</f>
        <v>Иные бюджетные ассигнования</v>
      </c>
      <c r="B1445" s="79" t="s">
        <v>419</v>
      </c>
      <c r="C1445" s="65" t="s">
        <v>70</v>
      </c>
      <c r="D1445" s="46" t="s">
        <v>81</v>
      </c>
      <c r="E1445" s="26">
        <v>800</v>
      </c>
      <c r="F1445" s="62">
        <f t="shared" si="323"/>
        <v>29000</v>
      </c>
      <c r="G1445" s="62">
        <f t="shared" si="323"/>
        <v>-18553.599999999999</v>
      </c>
      <c r="H1445" s="49">
        <f t="shared" si="310"/>
        <v>10446.400000000001</v>
      </c>
      <c r="I1445" s="62">
        <f t="shared" si="323"/>
        <v>41142.9</v>
      </c>
      <c r="J1445" s="49">
        <f t="shared" si="315"/>
        <v>51589.3</v>
      </c>
      <c r="K1445" s="62">
        <f t="shared" si="323"/>
        <v>-14176.5</v>
      </c>
      <c r="L1445" s="49">
        <f t="shared" si="306"/>
        <v>37412.800000000003</v>
      </c>
      <c r="M1445" s="62">
        <f t="shared" si="323"/>
        <v>-29257.4</v>
      </c>
      <c r="N1445" s="49">
        <f t="shared" si="318"/>
        <v>8155.4000000000015</v>
      </c>
    </row>
    <row r="1446" spans="1:14" x14ac:dyDescent="0.2">
      <c r="A1446" s="50" t="str">
        <f ca="1">IF(ISERROR(MATCH(E1446,Код_КВР,0)),"",INDIRECT(ADDRESS(MATCH(E1446,Код_КВР,0)+1,2,,,"КВР")))</f>
        <v>Резервные средства</v>
      </c>
      <c r="B1446" s="79" t="s">
        <v>419</v>
      </c>
      <c r="C1446" s="65" t="s">
        <v>70</v>
      </c>
      <c r="D1446" s="46" t="s">
        <v>81</v>
      </c>
      <c r="E1446" s="26">
        <v>870</v>
      </c>
      <c r="F1446" s="62">
        <f>'прил. 8'!G919</f>
        <v>29000</v>
      </c>
      <c r="G1446" s="62">
        <f>'прил. 8'!H919</f>
        <v>-18553.599999999999</v>
      </c>
      <c r="H1446" s="49">
        <f t="shared" si="310"/>
        <v>10446.400000000001</v>
      </c>
      <c r="I1446" s="62">
        <f>'прил. 8'!J919</f>
        <v>41142.9</v>
      </c>
      <c r="J1446" s="49">
        <f t="shared" si="315"/>
        <v>51589.3</v>
      </c>
      <c r="K1446" s="62">
        <f>'прил. 8'!L919</f>
        <v>-14176.5</v>
      </c>
      <c r="L1446" s="49">
        <f t="shared" si="306"/>
        <v>37412.800000000003</v>
      </c>
      <c r="M1446" s="62">
        <f>'прил. 8'!N919</f>
        <v>-29257.4</v>
      </c>
      <c r="N1446" s="49">
        <f t="shared" si="318"/>
        <v>8155.4000000000015</v>
      </c>
    </row>
    <row r="1447" spans="1:14" x14ac:dyDescent="0.2">
      <c r="A1447" s="50" t="str">
        <f ca="1">IF(ISERROR(MATCH(B1447,Код_КЦСР,0)),"",INDIRECT(ADDRESS(MATCH(B1447,Код_КЦСР,0)+1,2,,,"КЦСР")))</f>
        <v>Иные непрограммные расходы</v>
      </c>
      <c r="B1447" s="79" t="s">
        <v>421</v>
      </c>
      <c r="C1447" s="65"/>
      <c r="D1447" s="46"/>
      <c r="E1447" s="26"/>
      <c r="F1447" s="62">
        <f>F1448+F1453</f>
        <v>105262.1</v>
      </c>
      <c r="G1447" s="62">
        <f>G1448+G1453</f>
        <v>0</v>
      </c>
      <c r="H1447" s="49">
        <f t="shared" si="310"/>
        <v>105262.1</v>
      </c>
      <c r="I1447" s="62">
        <f>I1448+I1453</f>
        <v>0</v>
      </c>
      <c r="J1447" s="49">
        <f t="shared" si="315"/>
        <v>105262.1</v>
      </c>
      <c r="K1447" s="62">
        <f>K1448+K1453</f>
        <v>0</v>
      </c>
      <c r="L1447" s="49">
        <f t="shared" si="306"/>
        <v>105262.1</v>
      </c>
      <c r="M1447" s="62">
        <f>M1448+M1453</f>
        <v>0</v>
      </c>
      <c r="N1447" s="49">
        <f t="shared" si="318"/>
        <v>105262.1</v>
      </c>
    </row>
    <row r="1448" spans="1:14" x14ac:dyDescent="0.2">
      <c r="A1448" s="50" t="str">
        <f ca="1">IF(ISERROR(MATCH(B1448,Код_КЦСР,0)),"",INDIRECT(ADDRESS(MATCH(B1448,Код_КЦСР,0)+1,2,,,"КЦСР")))</f>
        <v>Процентные платежи по муниципальному долгу</v>
      </c>
      <c r="B1448" s="79" t="s">
        <v>423</v>
      </c>
      <c r="C1448" s="65"/>
      <c r="D1448" s="46"/>
      <c r="E1448" s="26"/>
      <c r="F1448" s="62">
        <f>F1449</f>
        <v>87571</v>
      </c>
      <c r="G1448" s="62">
        <f>G1449</f>
        <v>0</v>
      </c>
      <c r="H1448" s="49">
        <f t="shared" si="310"/>
        <v>87571</v>
      </c>
      <c r="I1448" s="62">
        <f>I1449</f>
        <v>0</v>
      </c>
      <c r="J1448" s="49">
        <f t="shared" si="315"/>
        <v>87571</v>
      </c>
      <c r="K1448" s="62">
        <f>K1449</f>
        <v>0</v>
      </c>
      <c r="L1448" s="49">
        <f t="shared" si="306"/>
        <v>87571</v>
      </c>
      <c r="M1448" s="62">
        <f>M1449</f>
        <v>0</v>
      </c>
      <c r="N1448" s="49">
        <f t="shared" si="318"/>
        <v>87571</v>
      </c>
    </row>
    <row r="1449" spans="1:14" x14ac:dyDescent="0.2">
      <c r="A1449" s="50" t="str">
        <f ca="1">IF(ISERROR(MATCH(C1449,Код_Раздел,0)),"",INDIRECT(ADDRESS(MATCH(C1449,Код_Раздел,0)+1,2,,,"Раздел")))</f>
        <v>Обслуживание государственного и муниципального долга</v>
      </c>
      <c r="B1449" s="79" t="s">
        <v>423</v>
      </c>
      <c r="C1449" s="65" t="s">
        <v>55</v>
      </c>
      <c r="D1449" s="46"/>
      <c r="E1449" s="26"/>
      <c r="F1449" s="62">
        <f t="shared" ref="F1449:M1451" si="324">F1450</f>
        <v>87571</v>
      </c>
      <c r="G1449" s="62">
        <f t="shared" si="324"/>
        <v>0</v>
      </c>
      <c r="H1449" s="49">
        <f t="shared" si="310"/>
        <v>87571</v>
      </c>
      <c r="I1449" s="62">
        <f t="shared" si="324"/>
        <v>0</v>
      </c>
      <c r="J1449" s="49">
        <f t="shared" si="315"/>
        <v>87571</v>
      </c>
      <c r="K1449" s="62">
        <f t="shared" si="324"/>
        <v>0</v>
      </c>
      <c r="L1449" s="49">
        <f t="shared" si="306"/>
        <v>87571</v>
      </c>
      <c r="M1449" s="62">
        <f t="shared" si="324"/>
        <v>0</v>
      </c>
      <c r="N1449" s="49">
        <f t="shared" si="318"/>
        <v>87571</v>
      </c>
    </row>
    <row r="1450" spans="1:14" x14ac:dyDescent="0.2">
      <c r="A1450" s="45" t="s">
        <v>110</v>
      </c>
      <c r="B1450" s="79" t="s">
        <v>423</v>
      </c>
      <c r="C1450" s="65" t="s">
        <v>55</v>
      </c>
      <c r="D1450" s="46" t="s">
        <v>70</v>
      </c>
      <c r="E1450" s="26"/>
      <c r="F1450" s="62">
        <f t="shared" si="324"/>
        <v>87571</v>
      </c>
      <c r="G1450" s="62">
        <f t="shared" si="324"/>
        <v>0</v>
      </c>
      <c r="H1450" s="49">
        <f t="shared" si="310"/>
        <v>87571</v>
      </c>
      <c r="I1450" s="62">
        <f t="shared" si="324"/>
        <v>0</v>
      </c>
      <c r="J1450" s="49">
        <f t="shared" si="315"/>
        <v>87571</v>
      </c>
      <c r="K1450" s="62">
        <f t="shared" si="324"/>
        <v>0</v>
      </c>
      <c r="L1450" s="49">
        <f t="shared" si="306"/>
        <v>87571</v>
      </c>
      <c r="M1450" s="62">
        <f t="shared" si="324"/>
        <v>0</v>
      </c>
      <c r="N1450" s="49">
        <f t="shared" si="318"/>
        <v>87571</v>
      </c>
    </row>
    <row r="1451" spans="1:14" x14ac:dyDescent="0.2">
      <c r="A1451" s="50" t="str">
        <f ca="1">IF(ISERROR(MATCH(E1451,Код_КВР,0)),"",INDIRECT(ADDRESS(MATCH(E1451,Код_КВР,0)+1,2,,,"КВР")))</f>
        <v>Обслуживание государственного (муниципального) долга</v>
      </c>
      <c r="B1451" s="79" t="s">
        <v>423</v>
      </c>
      <c r="C1451" s="65" t="s">
        <v>55</v>
      </c>
      <c r="D1451" s="46" t="s">
        <v>70</v>
      </c>
      <c r="E1451" s="26">
        <v>700</v>
      </c>
      <c r="F1451" s="62">
        <f t="shared" si="324"/>
        <v>87571</v>
      </c>
      <c r="G1451" s="62">
        <f t="shared" si="324"/>
        <v>0</v>
      </c>
      <c r="H1451" s="49">
        <f t="shared" si="310"/>
        <v>87571</v>
      </c>
      <c r="I1451" s="62">
        <f t="shared" si="324"/>
        <v>0</v>
      </c>
      <c r="J1451" s="49">
        <f t="shared" si="315"/>
        <v>87571</v>
      </c>
      <c r="K1451" s="62">
        <f t="shared" si="324"/>
        <v>0</v>
      </c>
      <c r="L1451" s="49">
        <f t="shared" si="306"/>
        <v>87571</v>
      </c>
      <c r="M1451" s="62">
        <f t="shared" si="324"/>
        <v>0</v>
      </c>
      <c r="N1451" s="49">
        <f t="shared" si="318"/>
        <v>87571</v>
      </c>
    </row>
    <row r="1452" spans="1:14" x14ac:dyDescent="0.2">
      <c r="A1452" s="50" t="str">
        <f ca="1">IF(ISERROR(MATCH(E1452,Код_КВР,0)),"",INDIRECT(ADDRESS(MATCH(E1452,Код_КВР,0)+1,2,,,"КВР")))</f>
        <v>Обслуживание муниципального долга</v>
      </c>
      <c r="B1452" s="79" t="s">
        <v>423</v>
      </c>
      <c r="C1452" s="65" t="s">
        <v>55</v>
      </c>
      <c r="D1452" s="46" t="s">
        <v>70</v>
      </c>
      <c r="E1452" s="26">
        <v>730</v>
      </c>
      <c r="F1452" s="62">
        <f>'прил. 8'!G944</f>
        <v>87571</v>
      </c>
      <c r="G1452" s="62">
        <f>'прил. 8'!H944</f>
        <v>0</v>
      </c>
      <c r="H1452" s="49">
        <f t="shared" si="310"/>
        <v>87571</v>
      </c>
      <c r="I1452" s="62">
        <f>'прил. 8'!J944</f>
        <v>0</v>
      </c>
      <c r="J1452" s="49">
        <f t="shared" si="315"/>
        <v>87571</v>
      </c>
      <c r="K1452" s="62">
        <f>'прил. 8'!L944</f>
        <v>0</v>
      </c>
      <c r="L1452" s="49">
        <f t="shared" si="306"/>
        <v>87571</v>
      </c>
      <c r="M1452" s="62">
        <f>'прил. 8'!N944</f>
        <v>0</v>
      </c>
      <c r="N1452" s="49">
        <f t="shared" si="318"/>
        <v>87571</v>
      </c>
    </row>
    <row r="1453" spans="1:14" ht="33" x14ac:dyDescent="0.2">
      <c r="A1453" s="50" t="str">
        <f ca="1">IF(ISERROR(MATCH(B1453,Код_КЦСР,0)),"",INDIRECT(ADDRESS(MATCH(B1453,Код_КЦСР,0)+1,2,,,"КЦСР")))</f>
        <v>Обеспечение деятельности муниципального казенного учреждения «Финансово-бухгалтерский центр»</v>
      </c>
      <c r="B1453" s="79" t="s">
        <v>424</v>
      </c>
      <c r="C1453" s="65"/>
      <c r="D1453" s="46"/>
      <c r="E1453" s="26"/>
      <c r="F1453" s="62">
        <f>F1454+F1460</f>
        <v>17691.099999999999</v>
      </c>
      <c r="G1453" s="62">
        <f>G1454+G1460</f>
        <v>0</v>
      </c>
      <c r="H1453" s="49">
        <f t="shared" si="310"/>
        <v>17691.099999999999</v>
      </c>
      <c r="I1453" s="62">
        <f>I1454+I1460</f>
        <v>0</v>
      </c>
      <c r="J1453" s="49">
        <f t="shared" si="315"/>
        <v>17691.099999999999</v>
      </c>
      <c r="K1453" s="62">
        <f>K1454+K1460</f>
        <v>0</v>
      </c>
      <c r="L1453" s="49">
        <f t="shared" ref="L1453:L1466" si="325">J1453+K1453</f>
        <v>17691.099999999999</v>
      </c>
      <c r="M1453" s="62">
        <f>M1454+M1460</f>
        <v>0</v>
      </c>
      <c r="N1453" s="49">
        <f t="shared" si="318"/>
        <v>17691.099999999999</v>
      </c>
    </row>
    <row r="1454" spans="1:14" x14ac:dyDescent="0.2">
      <c r="A1454" s="50" t="str">
        <f ca="1">IF(ISERROR(MATCH(C1454,Код_Раздел,0)),"",INDIRECT(ADDRESS(MATCH(C1454,Код_Раздел,0)+1,2,,,"Раздел")))</f>
        <v>Общегосударственные вопросы</v>
      </c>
      <c r="B1454" s="79" t="s">
        <v>424</v>
      </c>
      <c r="C1454" s="65" t="s">
        <v>70</v>
      </c>
      <c r="D1454" s="46"/>
      <c r="E1454" s="26"/>
      <c r="F1454" s="62">
        <f>F1455</f>
        <v>17691.099999999999</v>
      </c>
      <c r="G1454" s="62">
        <f>G1455</f>
        <v>0</v>
      </c>
      <c r="H1454" s="49">
        <f t="shared" si="310"/>
        <v>17691.099999999999</v>
      </c>
      <c r="I1454" s="62">
        <f>I1455</f>
        <v>0</v>
      </c>
      <c r="J1454" s="49">
        <f t="shared" si="315"/>
        <v>17691.099999999999</v>
      </c>
      <c r="K1454" s="62">
        <f>K1455</f>
        <v>0</v>
      </c>
      <c r="L1454" s="49">
        <f t="shared" si="325"/>
        <v>17691.099999999999</v>
      </c>
      <c r="M1454" s="62">
        <f>M1455</f>
        <v>0</v>
      </c>
      <c r="N1454" s="49">
        <f t="shared" si="318"/>
        <v>17691.099999999999</v>
      </c>
    </row>
    <row r="1455" spans="1:14" ht="33" x14ac:dyDescent="0.2">
      <c r="A1455" s="50" t="s">
        <v>36</v>
      </c>
      <c r="B1455" s="79" t="s">
        <v>424</v>
      </c>
      <c r="C1455" s="65" t="s">
        <v>70</v>
      </c>
      <c r="D1455" s="46" t="s">
        <v>74</v>
      </c>
      <c r="E1455" s="26"/>
      <c r="F1455" s="62">
        <f>F1456+F1458</f>
        <v>17691.099999999999</v>
      </c>
      <c r="G1455" s="62">
        <f>G1456+G1458</f>
        <v>0</v>
      </c>
      <c r="H1455" s="49">
        <f t="shared" si="310"/>
        <v>17691.099999999999</v>
      </c>
      <c r="I1455" s="62">
        <f>I1456+I1458</f>
        <v>0</v>
      </c>
      <c r="J1455" s="49">
        <f t="shared" si="315"/>
        <v>17691.099999999999</v>
      </c>
      <c r="K1455" s="62">
        <f>K1456+K1458</f>
        <v>0</v>
      </c>
      <c r="L1455" s="49">
        <f t="shared" si="325"/>
        <v>17691.099999999999</v>
      </c>
      <c r="M1455" s="62">
        <f>M1456+M1458</f>
        <v>0</v>
      </c>
      <c r="N1455" s="49">
        <f t="shared" si="318"/>
        <v>17691.099999999999</v>
      </c>
    </row>
    <row r="1456" spans="1:14" ht="49.5" x14ac:dyDescent="0.2">
      <c r="A1456" s="50" t="str">
        <f ca="1">IF(ISERROR(MATCH(E1456,Код_КВР,0)),"",INDIRECT(ADDRESS(MATCH(E1456,Код_КВР,0)+1,2,,,"КВР")))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56" s="79" t="s">
        <v>424</v>
      </c>
      <c r="C1456" s="65" t="s">
        <v>70</v>
      </c>
      <c r="D1456" s="46" t="s">
        <v>74</v>
      </c>
      <c r="E1456" s="26">
        <v>100</v>
      </c>
      <c r="F1456" s="62">
        <f>F1457</f>
        <v>17595.699999999997</v>
      </c>
      <c r="G1456" s="62">
        <f>G1457</f>
        <v>0</v>
      </c>
      <c r="H1456" s="49">
        <f t="shared" si="310"/>
        <v>17595.699999999997</v>
      </c>
      <c r="I1456" s="62">
        <f>I1457</f>
        <v>0</v>
      </c>
      <c r="J1456" s="49">
        <f t="shared" si="315"/>
        <v>17595.699999999997</v>
      </c>
      <c r="K1456" s="62">
        <f>K1457</f>
        <v>0</v>
      </c>
      <c r="L1456" s="49">
        <f t="shared" si="325"/>
        <v>17595.699999999997</v>
      </c>
      <c r="M1456" s="62">
        <f>M1457</f>
        <v>0</v>
      </c>
      <c r="N1456" s="49">
        <f t="shared" si="318"/>
        <v>17595.699999999997</v>
      </c>
    </row>
    <row r="1457" spans="1:14" x14ac:dyDescent="0.2">
      <c r="A1457" s="50" t="str">
        <f ca="1">IF(ISERROR(MATCH(E1457,Код_КВР,0)),"",INDIRECT(ADDRESS(MATCH(E1457,Код_КВР,0)+1,2,,,"КВР")))</f>
        <v>Расходы на выплаты персоналу казенных учреждений</v>
      </c>
      <c r="B1457" s="79" t="s">
        <v>424</v>
      </c>
      <c r="C1457" s="65" t="s">
        <v>70</v>
      </c>
      <c r="D1457" s="46" t="s">
        <v>74</v>
      </c>
      <c r="E1457" s="26">
        <v>110</v>
      </c>
      <c r="F1457" s="62">
        <f>'прил. 8'!G911</f>
        <v>17595.699999999997</v>
      </c>
      <c r="G1457" s="62">
        <f>'прил. 8'!H911</f>
        <v>0</v>
      </c>
      <c r="H1457" s="49">
        <f t="shared" si="310"/>
        <v>17595.699999999997</v>
      </c>
      <c r="I1457" s="62">
        <f>'прил. 8'!J911</f>
        <v>0</v>
      </c>
      <c r="J1457" s="49">
        <f t="shared" si="315"/>
        <v>17595.699999999997</v>
      </c>
      <c r="K1457" s="62">
        <f>'прил. 8'!L911</f>
        <v>0</v>
      </c>
      <c r="L1457" s="49">
        <f t="shared" si="325"/>
        <v>17595.699999999997</v>
      </c>
      <c r="M1457" s="62">
        <f>'прил. 8'!N911</f>
        <v>0</v>
      </c>
      <c r="N1457" s="49">
        <f t="shared" si="318"/>
        <v>17595.699999999997</v>
      </c>
    </row>
    <row r="1458" spans="1:14" ht="33" x14ac:dyDescent="0.2">
      <c r="A1458" s="50" t="str">
        <f t="shared" ref="A1458:A1459" ca="1" si="326">IF(ISERROR(MATCH(E1458,Код_КВР,0)),"",INDIRECT(ADDRESS(MATCH(E1458,Код_КВР,0)+1,2,,,"КВР")))</f>
        <v>Закупка товаров, работ и услуг для обеспечения государственных (муниципальных) нужд</v>
      </c>
      <c r="B1458" s="79" t="s">
        <v>424</v>
      </c>
      <c r="C1458" s="65" t="s">
        <v>70</v>
      </c>
      <c r="D1458" s="46" t="s">
        <v>74</v>
      </c>
      <c r="E1458" s="26">
        <v>200</v>
      </c>
      <c r="F1458" s="62">
        <f>F1459</f>
        <v>95.4</v>
      </c>
      <c r="G1458" s="62">
        <f>G1459</f>
        <v>0</v>
      </c>
      <c r="H1458" s="49">
        <f t="shared" si="310"/>
        <v>95.4</v>
      </c>
      <c r="I1458" s="62">
        <f>I1459</f>
        <v>0</v>
      </c>
      <c r="J1458" s="49">
        <f t="shared" si="315"/>
        <v>95.4</v>
      </c>
      <c r="K1458" s="62">
        <f>K1459</f>
        <v>0</v>
      </c>
      <c r="L1458" s="49">
        <f t="shared" si="325"/>
        <v>95.4</v>
      </c>
      <c r="M1458" s="62">
        <f>M1459</f>
        <v>0</v>
      </c>
      <c r="N1458" s="49">
        <f t="shared" si="318"/>
        <v>95.4</v>
      </c>
    </row>
    <row r="1459" spans="1:14" ht="33" x14ac:dyDescent="0.2">
      <c r="A1459" s="50" t="str">
        <f t="shared" ca="1" si="326"/>
        <v>Иные закупки товаров, работ и услуг для обеспечения государственных (муниципальных) нужд</v>
      </c>
      <c r="B1459" s="79" t="s">
        <v>424</v>
      </c>
      <c r="C1459" s="65" t="s">
        <v>70</v>
      </c>
      <c r="D1459" s="46" t="s">
        <v>74</v>
      </c>
      <c r="E1459" s="26">
        <v>240</v>
      </c>
      <c r="F1459" s="62">
        <f>'прил. 8'!G913</f>
        <v>95.4</v>
      </c>
      <c r="G1459" s="62">
        <f>'прил. 8'!H913</f>
        <v>0</v>
      </c>
      <c r="H1459" s="49">
        <f t="shared" si="310"/>
        <v>95.4</v>
      </c>
      <c r="I1459" s="62">
        <f>'прил. 8'!J913</f>
        <v>0</v>
      </c>
      <c r="J1459" s="49">
        <f t="shared" si="315"/>
        <v>95.4</v>
      </c>
      <c r="K1459" s="62">
        <f>'прил. 8'!L913</f>
        <v>0</v>
      </c>
      <c r="L1459" s="49">
        <f t="shared" si="325"/>
        <v>95.4</v>
      </c>
      <c r="M1459" s="62">
        <f>'прил. 8'!N913</f>
        <v>0</v>
      </c>
      <c r="N1459" s="49">
        <f t="shared" si="318"/>
        <v>95.4</v>
      </c>
    </row>
    <row r="1460" spans="1:14" hidden="1" x14ac:dyDescent="0.2">
      <c r="A1460" s="50" t="str">
        <f ca="1">IF(ISERROR(MATCH(C1460,Код_Раздел,0)),"",INDIRECT(ADDRESS(MATCH(C1460,Код_Раздел,0)+1,2,,,"Раздел")))</f>
        <v>Образование</v>
      </c>
      <c r="B1460" s="79" t="s">
        <v>424</v>
      </c>
      <c r="C1460" s="65" t="s">
        <v>60</v>
      </c>
      <c r="D1460" s="46"/>
      <c r="E1460" s="26"/>
      <c r="F1460" s="62">
        <f t="shared" ref="F1460:I1462" si="327">F1461</f>
        <v>0</v>
      </c>
      <c r="G1460" s="62">
        <f t="shared" si="327"/>
        <v>0</v>
      </c>
      <c r="H1460" s="49">
        <f t="shared" si="310"/>
        <v>0</v>
      </c>
      <c r="I1460" s="62">
        <f t="shared" si="327"/>
        <v>0</v>
      </c>
      <c r="J1460" s="49">
        <f t="shared" si="315"/>
        <v>0</v>
      </c>
      <c r="K1460" s="132"/>
      <c r="L1460" s="49">
        <f t="shared" si="325"/>
        <v>0</v>
      </c>
      <c r="M1460" s="132"/>
      <c r="N1460" s="49">
        <f t="shared" si="318"/>
        <v>0</v>
      </c>
    </row>
    <row r="1461" spans="1:14" hidden="1" x14ac:dyDescent="0.2">
      <c r="A1461" s="45" t="s">
        <v>532</v>
      </c>
      <c r="B1461" s="79" t="s">
        <v>424</v>
      </c>
      <c r="C1461" s="65" t="s">
        <v>60</v>
      </c>
      <c r="D1461" s="46" t="s">
        <v>78</v>
      </c>
      <c r="E1461" s="26"/>
      <c r="F1461" s="62">
        <f t="shared" si="327"/>
        <v>0</v>
      </c>
      <c r="G1461" s="62">
        <f t="shared" si="327"/>
        <v>0</v>
      </c>
      <c r="H1461" s="49">
        <f t="shared" si="310"/>
        <v>0</v>
      </c>
      <c r="I1461" s="62">
        <f t="shared" si="327"/>
        <v>0</v>
      </c>
      <c r="J1461" s="49">
        <f t="shared" si="315"/>
        <v>0</v>
      </c>
      <c r="K1461" s="132"/>
      <c r="L1461" s="49">
        <f t="shared" si="325"/>
        <v>0</v>
      </c>
      <c r="M1461" s="132"/>
      <c r="N1461" s="49">
        <f t="shared" si="318"/>
        <v>0</v>
      </c>
    </row>
    <row r="1462" spans="1:14" ht="33" hidden="1" x14ac:dyDescent="0.2">
      <c r="A1462" s="50" t="str">
        <f t="shared" ref="A1462:A1463" ca="1" si="328">IF(ISERROR(MATCH(E1462,Код_КВР,0)),"",INDIRECT(ADDRESS(MATCH(E1462,Код_КВР,0)+1,2,,,"КВР")))</f>
        <v>Закупка товаров, работ и услуг для обеспечения государственных (муниципальных) нужд</v>
      </c>
      <c r="B1462" s="79" t="s">
        <v>424</v>
      </c>
      <c r="C1462" s="65" t="s">
        <v>60</v>
      </c>
      <c r="D1462" s="46" t="s">
        <v>78</v>
      </c>
      <c r="E1462" s="26">
        <v>200</v>
      </c>
      <c r="F1462" s="62">
        <f t="shared" si="327"/>
        <v>0</v>
      </c>
      <c r="G1462" s="62">
        <f t="shared" si="327"/>
        <v>0</v>
      </c>
      <c r="H1462" s="49">
        <f t="shared" si="310"/>
        <v>0</v>
      </c>
      <c r="I1462" s="62">
        <f t="shared" si="327"/>
        <v>0</v>
      </c>
      <c r="J1462" s="49">
        <f t="shared" si="315"/>
        <v>0</v>
      </c>
      <c r="K1462" s="132"/>
      <c r="L1462" s="49">
        <f t="shared" si="325"/>
        <v>0</v>
      </c>
      <c r="M1462" s="132"/>
      <c r="N1462" s="49">
        <f t="shared" si="318"/>
        <v>0</v>
      </c>
    </row>
    <row r="1463" spans="1:14" ht="33" hidden="1" x14ac:dyDescent="0.2">
      <c r="A1463" s="50" t="str">
        <f t="shared" ca="1" si="328"/>
        <v>Иные закупки товаров, работ и услуг для обеспечения государственных (муниципальных) нужд</v>
      </c>
      <c r="B1463" s="79" t="s">
        <v>424</v>
      </c>
      <c r="C1463" s="65" t="s">
        <v>60</v>
      </c>
      <c r="D1463" s="46" t="s">
        <v>78</v>
      </c>
      <c r="E1463" s="26">
        <v>240</v>
      </c>
      <c r="F1463" s="62">
        <f>'прил. 8'!G937</f>
        <v>0</v>
      </c>
      <c r="G1463" s="62">
        <f>'прил. 8'!H937</f>
        <v>0</v>
      </c>
      <c r="H1463" s="49">
        <f t="shared" si="310"/>
        <v>0</v>
      </c>
      <c r="I1463" s="62">
        <f>'прил. 8'!J937</f>
        <v>0</v>
      </c>
      <c r="J1463" s="49">
        <f t="shared" si="315"/>
        <v>0</v>
      </c>
      <c r="K1463" s="132"/>
      <c r="L1463" s="49">
        <f t="shared" si="325"/>
        <v>0</v>
      </c>
      <c r="M1463" s="132"/>
      <c r="N1463" s="49">
        <f t="shared" si="318"/>
        <v>0</v>
      </c>
    </row>
    <row r="1464" spans="1:14" hidden="1" x14ac:dyDescent="0.2">
      <c r="A1464" s="50" t="s">
        <v>490</v>
      </c>
      <c r="B1464" s="46"/>
      <c r="C1464" s="46"/>
      <c r="D1464" s="47"/>
      <c r="E1464" s="47"/>
      <c r="F1464" s="47">
        <f>F17+F264+F386+F437+F459+F491+F497+F529+F545+F570+F582+F626+F702+F747+F760+F774+F870+F912+F1064+F1185+F1253+F1287+F1342+F754</f>
        <v>7295499.5000000009</v>
      </c>
      <c r="G1464" s="47">
        <f>G17+G264+G386+G437+G459+G491+G497+G529+G545+G570+G582+G626+G702+G747+G760+G774+G870+G912+G1064+G1185+G1253+G1287+G1342+G754</f>
        <v>7140.4000000000015</v>
      </c>
      <c r="H1464" s="49">
        <f t="shared" si="310"/>
        <v>7302639.9000000013</v>
      </c>
      <c r="I1464" s="47">
        <f>I17+I264+I386+I437+I459+I491+I497+I529+I545+I570+I582+I626+I702+I747+I760+I774+I870+I912+I1064+I1185+I1253+I1287+I1342+I754</f>
        <v>-41335.200000000004</v>
      </c>
      <c r="J1464" s="49">
        <f t="shared" si="315"/>
        <v>7261304.7000000011</v>
      </c>
      <c r="K1464" s="47">
        <f>K17+K264+K386+K437+K459+K491+K497+K529+K545+K570+K582+K626+K702+K747+K760+K774+K870+K912+K1064+K1185+K1253+K1287+K1342+K754</f>
        <v>373651.70000000007</v>
      </c>
      <c r="L1464" s="49">
        <f t="shared" si="325"/>
        <v>7634956.4000000013</v>
      </c>
      <c r="M1464" s="47">
        <f>M17+M264+M386+M437+M459+M491+M497+M529+M545+M570+M582+M626+M702+M747+M760+M774+M870+M912+M1064+M1185+M1253+M1287+M1342+M754+M603</f>
        <v>140046.59999999998</v>
      </c>
      <c r="N1464" s="49">
        <f t="shared" si="318"/>
        <v>7775003.0000000009</v>
      </c>
    </row>
    <row r="1465" spans="1:14" hidden="1" x14ac:dyDescent="0.2">
      <c r="A1465" s="64"/>
      <c r="B1465" s="46"/>
      <c r="C1465" s="46"/>
      <c r="D1465" s="47"/>
      <c r="E1465" s="47"/>
      <c r="F1465" s="47">
        <f>'прил. 8'!G1324</f>
        <v>0</v>
      </c>
      <c r="G1465" s="47">
        <f>'прил. 8'!H1324</f>
        <v>0</v>
      </c>
      <c r="H1465" s="49">
        <f t="shared" si="310"/>
        <v>0</v>
      </c>
      <c r="I1465" s="47">
        <f>'прил. 8'!J1324</f>
        <v>0</v>
      </c>
      <c r="J1465" s="49">
        <f t="shared" si="315"/>
        <v>0</v>
      </c>
      <c r="K1465" s="132"/>
      <c r="L1465" s="49">
        <f t="shared" si="325"/>
        <v>0</v>
      </c>
      <c r="M1465" s="132"/>
      <c r="N1465" s="49">
        <f t="shared" si="318"/>
        <v>0</v>
      </c>
    </row>
    <row r="1466" spans="1:14" x14ac:dyDescent="0.2">
      <c r="A1466" s="50" t="s">
        <v>37</v>
      </c>
      <c r="B1466" s="46"/>
      <c r="C1466" s="46"/>
      <c r="D1466" s="47"/>
      <c r="E1466" s="47"/>
      <c r="F1466" s="47">
        <f>F1464+F1465</f>
        <v>7295499.5000000009</v>
      </c>
      <c r="G1466" s="47">
        <f>G1464+G1465</f>
        <v>7140.4000000000015</v>
      </c>
      <c r="H1466" s="49">
        <f t="shared" ref="H1466" si="329">F1466+G1466</f>
        <v>7302639.9000000013</v>
      </c>
      <c r="I1466" s="47">
        <f>I1464+I1465</f>
        <v>-41335.200000000004</v>
      </c>
      <c r="J1466" s="49">
        <f t="shared" si="315"/>
        <v>7261304.7000000011</v>
      </c>
      <c r="K1466" s="47">
        <f>K1464+K1465</f>
        <v>373651.70000000007</v>
      </c>
      <c r="L1466" s="49">
        <f t="shared" si="325"/>
        <v>7634956.4000000013</v>
      </c>
      <c r="M1466" s="47">
        <f>M1464+M1465</f>
        <v>140046.59999999998</v>
      </c>
      <c r="N1466" s="49">
        <f t="shared" si="318"/>
        <v>7775003.0000000009</v>
      </c>
    </row>
    <row r="1467" spans="1:14" x14ac:dyDescent="0.2">
      <c r="A1467" s="34"/>
      <c r="B1467" s="35"/>
      <c r="C1467" s="35"/>
      <c r="D1467" s="35"/>
      <c r="E1467" s="35"/>
    </row>
    <row r="1468" spans="1:14" s="77" customFormat="1" x14ac:dyDescent="0.2">
      <c r="A1468" s="81"/>
      <c r="B1468" s="82"/>
      <c r="C1468" s="82"/>
      <c r="D1468" s="82"/>
      <c r="E1468" s="82"/>
      <c r="F1468" s="110">
        <f>F1466-'прил. 8'!G1325</f>
        <v>0</v>
      </c>
      <c r="I1468" s="77">
        <f>I1466-'прил. 8'!J1325</f>
        <v>0</v>
      </c>
      <c r="J1468" s="77">
        <f>J1466-'прил. 8'!K1325</f>
        <v>0</v>
      </c>
      <c r="M1468" s="77">
        <f>M1466-'прил. 8'!N1325</f>
        <v>0</v>
      </c>
      <c r="N1468" s="77">
        <f>N1466-'прил. 8'!O1325</f>
        <v>0</v>
      </c>
    </row>
    <row r="1469" spans="1:14" s="77" customFormat="1" x14ac:dyDescent="0.2">
      <c r="A1469" s="83"/>
      <c r="B1469" s="82"/>
      <c r="C1469" s="82"/>
      <c r="D1469" s="82"/>
      <c r="E1469" s="82"/>
      <c r="F1469" s="110"/>
      <c r="K1469" s="77">
        <f>K1466-'прил. 8'!L1325</f>
        <v>0</v>
      </c>
    </row>
    <row r="1470" spans="1:14" s="77" customFormat="1" x14ac:dyDescent="0.2">
      <c r="A1470" s="84"/>
      <c r="B1470" s="82"/>
      <c r="C1470" s="82"/>
      <c r="D1470" s="82"/>
      <c r="E1470" s="82"/>
      <c r="F1470" s="110"/>
    </row>
    <row r="1471" spans="1:14" s="77" customFormat="1" x14ac:dyDescent="0.2">
      <c r="A1471" s="83"/>
      <c r="B1471" s="82"/>
      <c r="C1471" s="82"/>
      <c r="D1471" s="82"/>
      <c r="E1471" s="82"/>
      <c r="F1471" s="110"/>
    </row>
    <row r="1472" spans="1:14" s="77" customFormat="1" x14ac:dyDescent="0.2">
      <c r="A1472" s="83"/>
      <c r="B1472" s="82"/>
      <c r="C1472" s="82"/>
      <c r="D1472" s="82"/>
      <c r="E1472" s="82"/>
      <c r="F1472" s="110"/>
    </row>
    <row r="1473" spans="1:6" s="77" customFormat="1" x14ac:dyDescent="0.2">
      <c r="A1473" s="81"/>
      <c r="B1473" s="82"/>
      <c r="C1473" s="82"/>
      <c r="D1473" s="82"/>
      <c r="E1473" s="82"/>
      <c r="F1473" s="110"/>
    </row>
    <row r="1474" spans="1:6" s="77" customFormat="1" x14ac:dyDescent="0.2">
      <c r="A1474" s="83"/>
      <c r="B1474" s="82"/>
      <c r="C1474" s="82"/>
      <c r="D1474" s="82"/>
      <c r="E1474" s="82"/>
      <c r="F1474" s="110"/>
    </row>
    <row r="1475" spans="1:6" s="77" customFormat="1" x14ac:dyDescent="0.2">
      <c r="A1475" s="83"/>
      <c r="B1475" s="82"/>
      <c r="C1475" s="82"/>
      <c r="D1475" s="82"/>
      <c r="E1475" s="82"/>
      <c r="F1475" s="110"/>
    </row>
    <row r="1476" spans="1:6" s="77" customFormat="1" x14ac:dyDescent="0.2">
      <c r="A1476" s="81"/>
      <c r="B1476" s="82"/>
      <c r="C1476" s="82"/>
      <c r="D1476" s="82"/>
      <c r="E1476" s="82"/>
      <c r="F1476" s="110"/>
    </row>
    <row r="1477" spans="1:6" s="77" customFormat="1" x14ac:dyDescent="0.2">
      <c r="A1477" s="81"/>
      <c r="B1477" s="82"/>
      <c r="C1477" s="82"/>
      <c r="D1477" s="82"/>
      <c r="E1477" s="82"/>
      <c r="F1477" s="110"/>
    </row>
    <row r="1478" spans="1:6" x14ac:dyDescent="0.2">
      <c r="A1478" s="36"/>
      <c r="B1478" s="35"/>
      <c r="C1478" s="35"/>
      <c r="D1478" s="35"/>
      <c r="E1478" s="82"/>
    </row>
    <row r="1479" spans="1:6" x14ac:dyDescent="0.2">
      <c r="A1479" s="34"/>
      <c r="B1479" s="35"/>
      <c r="C1479" s="35"/>
      <c r="D1479" s="35"/>
      <c r="E1479" s="82"/>
    </row>
    <row r="1480" spans="1:6" x14ac:dyDescent="0.2">
      <c r="A1480" s="34"/>
      <c r="B1480" s="35"/>
      <c r="C1480" s="35"/>
      <c r="D1480" s="35"/>
      <c r="E1480" s="82"/>
    </row>
    <row r="1481" spans="1:6" x14ac:dyDescent="0.2">
      <c r="A1481" s="34"/>
      <c r="B1481" s="35"/>
      <c r="C1481" s="35"/>
      <c r="D1481" s="35"/>
      <c r="E1481" s="82"/>
    </row>
    <row r="1482" spans="1:6" x14ac:dyDescent="0.2">
      <c r="A1482" s="36"/>
      <c r="B1482" s="35"/>
      <c r="C1482" s="35"/>
      <c r="D1482" s="35"/>
      <c r="E1482" s="35"/>
    </row>
    <row r="1483" spans="1:6" x14ac:dyDescent="0.2">
      <c r="A1483" s="36"/>
      <c r="B1483" s="35"/>
      <c r="C1483" s="35"/>
      <c r="D1483" s="35"/>
      <c r="E1483" s="35"/>
    </row>
    <row r="1484" spans="1:6" x14ac:dyDescent="0.2">
      <c r="A1484" s="36"/>
      <c r="B1484" s="35"/>
      <c r="C1484" s="35"/>
      <c r="D1484" s="35"/>
      <c r="E1484" s="35"/>
    </row>
    <row r="1485" spans="1:6" x14ac:dyDescent="0.2">
      <c r="A1485" s="34"/>
      <c r="B1485" s="37"/>
      <c r="C1485" s="37"/>
      <c r="D1485" s="37"/>
      <c r="E1485" s="37"/>
    </row>
    <row r="1486" spans="1:6" x14ac:dyDescent="0.2">
      <c r="A1486" s="85"/>
      <c r="B1486" s="37"/>
      <c r="C1486" s="37"/>
      <c r="D1486" s="37"/>
      <c r="E1486" s="37"/>
    </row>
    <row r="1487" spans="1:6" x14ac:dyDescent="0.2">
      <c r="A1487" s="38"/>
      <c r="B1487" s="37"/>
      <c r="C1487" s="37"/>
      <c r="D1487" s="37"/>
      <c r="E1487" s="37"/>
    </row>
    <row r="1488" spans="1:6" x14ac:dyDescent="0.2">
      <c r="A1488" s="34"/>
      <c r="B1488" s="37"/>
      <c r="C1488" s="37"/>
      <c r="D1488" s="37"/>
      <c r="E1488" s="37"/>
    </row>
    <row r="1489" spans="1:6" x14ac:dyDescent="0.2">
      <c r="A1489" s="36"/>
      <c r="B1489" s="35"/>
      <c r="C1489" s="35"/>
      <c r="D1489" s="35"/>
      <c r="E1489" s="35"/>
    </row>
    <row r="1490" spans="1:6" x14ac:dyDescent="0.2">
      <c r="A1490" s="34"/>
      <c r="B1490" s="35"/>
      <c r="C1490" s="35"/>
      <c r="D1490" s="35"/>
      <c r="E1490" s="35"/>
      <c r="F1490" s="27"/>
    </row>
    <row r="1491" spans="1:6" x14ac:dyDescent="0.2">
      <c r="A1491" s="34"/>
      <c r="B1491" s="35"/>
      <c r="C1491" s="35"/>
      <c r="D1491" s="35"/>
      <c r="E1491" s="35"/>
      <c r="F1491" s="27"/>
    </row>
    <row r="1492" spans="1:6" x14ac:dyDescent="0.2">
      <c r="A1492" s="34"/>
      <c r="B1492" s="35"/>
      <c r="C1492" s="35"/>
      <c r="D1492" s="35"/>
      <c r="E1492" s="35"/>
      <c r="F1492" s="27"/>
    </row>
    <row r="1493" spans="1:6" x14ac:dyDescent="0.2">
      <c r="A1493" s="36"/>
      <c r="B1493" s="35"/>
      <c r="C1493" s="35"/>
      <c r="D1493" s="35"/>
      <c r="E1493" s="35"/>
      <c r="F1493" s="27"/>
    </row>
    <row r="1494" spans="1:6" x14ac:dyDescent="0.2">
      <c r="A1494" s="34"/>
      <c r="B1494" s="35"/>
      <c r="C1494" s="35"/>
      <c r="D1494" s="35"/>
      <c r="E1494" s="35"/>
      <c r="F1494" s="27"/>
    </row>
    <row r="1495" spans="1:6" x14ac:dyDescent="0.2">
      <c r="A1495" s="34"/>
      <c r="B1495" s="35"/>
      <c r="C1495" s="35"/>
      <c r="D1495" s="35"/>
      <c r="E1495" s="35"/>
      <c r="F1495" s="27"/>
    </row>
    <row r="1496" spans="1:6" x14ac:dyDescent="0.2">
      <c r="A1496" s="34"/>
      <c r="B1496" s="35"/>
      <c r="C1496" s="35"/>
      <c r="D1496" s="35"/>
      <c r="E1496" s="35"/>
      <c r="F1496" s="27"/>
    </row>
    <row r="1497" spans="1:6" x14ac:dyDescent="0.2">
      <c r="A1497" s="34"/>
      <c r="B1497" s="35"/>
      <c r="C1497" s="35"/>
      <c r="D1497" s="35"/>
      <c r="E1497" s="35"/>
      <c r="F1497" s="27"/>
    </row>
    <row r="1498" spans="1:6" x14ac:dyDescent="0.2">
      <c r="A1498" s="34"/>
      <c r="B1498" s="35"/>
      <c r="C1498" s="35"/>
      <c r="D1498" s="35"/>
      <c r="E1498" s="35"/>
      <c r="F1498" s="27"/>
    </row>
    <row r="1499" spans="1:6" x14ac:dyDescent="0.2">
      <c r="A1499" s="34"/>
      <c r="B1499" s="35"/>
      <c r="C1499" s="35"/>
      <c r="D1499" s="35"/>
      <c r="E1499" s="35"/>
      <c r="F1499" s="27"/>
    </row>
    <row r="1500" spans="1:6" x14ac:dyDescent="0.2">
      <c r="A1500" s="34"/>
      <c r="B1500" s="37"/>
      <c r="C1500" s="37"/>
      <c r="D1500" s="37"/>
      <c r="E1500" s="37"/>
      <c r="F1500" s="27"/>
    </row>
    <row r="1501" spans="1:6" x14ac:dyDescent="0.2">
      <c r="A1501" s="34"/>
      <c r="B1501" s="35"/>
      <c r="C1501" s="35"/>
      <c r="D1501" s="35"/>
      <c r="E1501" s="35"/>
      <c r="F1501" s="27"/>
    </row>
    <row r="1502" spans="1:6" x14ac:dyDescent="0.2">
      <c r="A1502" s="36"/>
      <c r="B1502" s="35"/>
      <c r="C1502" s="35"/>
      <c r="D1502" s="35"/>
      <c r="E1502" s="35"/>
      <c r="F1502" s="27"/>
    </row>
    <row r="1503" spans="1:6" x14ac:dyDescent="0.2">
      <c r="A1503" s="34"/>
      <c r="B1503" s="35"/>
      <c r="C1503" s="35"/>
      <c r="D1503" s="35"/>
      <c r="E1503" s="35"/>
      <c r="F1503" s="27"/>
    </row>
    <row r="1504" spans="1:6" x14ac:dyDescent="0.2">
      <c r="A1504" s="36"/>
      <c r="B1504" s="35"/>
      <c r="C1504" s="35"/>
      <c r="D1504" s="35"/>
      <c r="E1504" s="35"/>
      <c r="F1504" s="27"/>
    </row>
    <row r="1505" spans="1:6" x14ac:dyDescent="0.2">
      <c r="A1505" s="36"/>
      <c r="B1505" s="35"/>
      <c r="C1505" s="35"/>
      <c r="D1505" s="35"/>
      <c r="E1505" s="35"/>
      <c r="F1505" s="27"/>
    </row>
    <row r="1506" spans="1:6" x14ac:dyDescent="0.2">
      <c r="A1506" s="34"/>
      <c r="B1506" s="37"/>
      <c r="C1506" s="37"/>
      <c r="D1506" s="37"/>
      <c r="E1506" s="37"/>
      <c r="F1506" s="27"/>
    </row>
    <row r="1507" spans="1:6" x14ac:dyDescent="0.2">
      <c r="A1507" s="34"/>
      <c r="B1507" s="35"/>
      <c r="C1507" s="35"/>
      <c r="D1507" s="35"/>
      <c r="E1507" s="35"/>
      <c r="F1507" s="27"/>
    </row>
    <row r="1508" spans="1:6" x14ac:dyDescent="0.2">
      <c r="A1508" s="36"/>
      <c r="B1508" s="35"/>
      <c r="C1508" s="35"/>
      <c r="D1508" s="35"/>
      <c r="E1508" s="35"/>
      <c r="F1508" s="27"/>
    </row>
    <row r="1509" spans="1:6" x14ac:dyDescent="0.2">
      <c r="A1509" s="34"/>
      <c r="B1509" s="35"/>
      <c r="C1509" s="35"/>
      <c r="D1509" s="35"/>
      <c r="E1509" s="35"/>
      <c r="F1509" s="27"/>
    </row>
    <row r="1510" spans="1:6" x14ac:dyDescent="0.2">
      <c r="A1510" s="34"/>
      <c r="B1510" s="37"/>
      <c r="C1510" s="37"/>
      <c r="D1510" s="37"/>
      <c r="E1510" s="37"/>
      <c r="F1510" s="27"/>
    </row>
    <row r="1511" spans="1:6" x14ac:dyDescent="0.2">
      <c r="A1511" s="34"/>
      <c r="B1511" s="35"/>
      <c r="C1511" s="35"/>
      <c r="D1511" s="35"/>
      <c r="E1511" s="35"/>
      <c r="F1511" s="27"/>
    </row>
    <row r="1512" spans="1:6" x14ac:dyDescent="0.2">
      <c r="A1512" s="85"/>
      <c r="B1512" s="35"/>
      <c r="C1512" s="35"/>
      <c r="D1512" s="35"/>
      <c r="E1512" s="35"/>
      <c r="F1512" s="27"/>
    </row>
    <row r="1513" spans="1:6" x14ac:dyDescent="0.2">
      <c r="A1513" s="34"/>
      <c r="B1513" s="35"/>
      <c r="C1513" s="35"/>
      <c r="D1513" s="35"/>
      <c r="E1513" s="35"/>
      <c r="F1513" s="27"/>
    </row>
    <row r="1514" spans="1:6" x14ac:dyDescent="0.2">
      <c r="A1514" s="36"/>
      <c r="B1514" s="37"/>
      <c r="C1514" s="35"/>
      <c r="D1514" s="35"/>
      <c r="E1514" s="37"/>
      <c r="F1514" s="27"/>
    </row>
    <row r="1515" spans="1:6" x14ac:dyDescent="0.2">
      <c r="A1515" s="36"/>
      <c r="B1515" s="35"/>
      <c r="C1515" s="35"/>
      <c r="D1515" s="35"/>
      <c r="E1515" s="37"/>
      <c r="F1515" s="27"/>
    </row>
    <row r="1516" spans="1:6" x14ac:dyDescent="0.2">
      <c r="A1516" s="36"/>
      <c r="B1516" s="37"/>
      <c r="C1516" s="35"/>
      <c r="D1516" s="35"/>
      <c r="E1516" s="37"/>
      <c r="F1516" s="27"/>
    </row>
    <row r="1517" spans="1:6" x14ac:dyDescent="0.2">
      <c r="A1517" s="34"/>
      <c r="B1517" s="37"/>
      <c r="C1517" s="35"/>
      <c r="D1517" s="35"/>
      <c r="E1517" s="37"/>
      <c r="F1517" s="27"/>
    </row>
    <row r="1518" spans="1:6" x14ac:dyDescent="0.2">
      <c r="A1518" s="34"/>
      <c r="B1518" s="37"/>
      <c r="C1518" s="35"/>
      <c r="D1518" s="35"/>
      <c r="E1518" s="37"/>
      <c r="F1518" s="27"/>
    </row>
    <row r="1519" spans="1:6" x14ac:dyDescent="0.2">
      <c r="A1519" s="34"/>
      <c r="B1519" s="37"/>
      <c r="C1519" s="35"/>
      <c r="D1519" s="35"/>
      <c r="E1519" s="37"/>
      <c r="F1519" s="27"/>
    </row>
    <row r="1520" spans="1:6" x14ac:dyDescent="0.2">
      <c r="A1520" s="34"/>
      <c r="B1520" s="37"/>
      <c r="C1520" s="37"/>
      <c r="D1520" s="37"/>
      <c r="E1520" s="37"/>
      <c r="F1520" s="27"/>
    </row>
    <row r="1521" spans="1:6" x14ac:dyDescent="0.2">
      <c r="A1521" s="36"/>
      <c r="B1521" s="37"/>
      <c r="C1521" s="37"/>
      <c r="D1521" s="37"/>
      <c r="E1521" s="37"/>
      <c r="F1521" s="27"/>
    </row>
    <row r="1522" spans="1:6" x14ac:dyDescent="0.2">
      <c r="A1522" s="36"/>
      <c r="B1522" s="37"/>
      <c r="C1522" s="37"/>
      <c r="D1522" s="37"/>
      <c r="E1522" s="37"/>
      <c r="F1522" s="27"/>
    </row>
    <row r="1523" spans="1:6" x14ac:dyDescent="0.2">
      <c r="A1523" s="34"/>
      <c r="B1523" s="37"/>
      <c r="C1523" s="37"/>
      <c r="D1523" s="37"/>
      <c r="E1523" s="37"/>
      <c r="F1523" s="27"/>
    </row>
    <row r="1524" spans="1:6" x14ac:dyDescent="0.2">
      <c r="A1524" s="38"/>
      <c r="B1524" s="37"/>
      <c r="C1524" s="37"/>
      <c r="D1524" s="37"/>
      <c r="E1524" s="37"/>
      <c r="F1524" s="27"/>
    </row>
    <row r="1525" spans="1:6" x14ac:dyDescent="0.2">
      <c r="A1525" s="36"/>
      <c r="B1525" s="37"/>
      <c r="C1525" s="37"/>
      <c r="D1525" s="37"/>
      <c r="E1525" s="37"/>
      <c r="F1525" s="27"/>
    </row>
    <row r="1526" spans="1:6" x14ac:dyDescent="0.2">
      <c r="A1526" s="34"/>
      <c r="B1526" s="37"/>
      <c r="C1526" s="37"/>
      <c r="D1526" s="37"/>
      <c r="E1526" s="37"/>
      <c r="F1526" s="27"/>
    </row>
    <row r="1527" spans="1:6" x14ac:dyDescent="0.2">
      <c r="A1527" s="36"/>
      <c r="B1527" s="37"/>
      <c r="C1527" s="37"/>
      <c r="D1527" s="37"/>
      <c r="E1527" s="37"/>
      <c r="F1527" s="27"/>
    </row>
    <row r="1528" spans="1:6" x14ac:dyDescent="0.2">
      <c r="A1528" s="36"/>
      <c r="B1528" s="35"/>
      <c r="C1528" s="35"/>
      <c r="D1528" s="35"/>
      <c r="E1528" s="35"/>
      <c r="F1528" s="27"/>
    </row>
    <row r="1529" spans="1:6" x14ac:dyDescent="0.2">
      <c r="A1529" s="36"/>
      <c r="B1529" s="35"/>
      <c r="C1529" s="35"/>
      <c r="D1529" s="35"/>
      <c r="E1529" s="35"/>
      <c r="F1529" s="27"/>
    </row>
    <row r="1530" spans="1:6" x14ac:dyDescent="0.2">
      <c r="A1530" s="36"/>
      <c r="B1530" s="35"/>
      <c r="C1530" s="35"/>
      <c r="D1530" s="35"/>
      <c r="E1530" s="35"/>
      <c r="F1530" s="27"/>
    </row>
    <row r="1531" spans="1:6" x14ac:dyDescent="0.2">
      <c r="A1531" s="34"/>
      <c r="B1531" s="35"/>
      <c r="C1531" s="35"/>
      <c r="D1531" s="35"/>
      <c r="E1531" s="35"/>
      <c r="F1531" s="27"/>
    </row>
    <row r="1532" spans="1:6" x14ac:dyDescent="0.2">
      <c r="A1532" s="34"/>
      <c r="B1532" s="35"/>
      <c r="C1532" s="35"/>
      <c r="D1532" s="35"/>
      <c r="E1532" s="35"/>
      <c r="F1532" s="27"/>
    </row>
    <row r="1533" spans="1:6" x14ac:dyDescent="0.2">
      <c r="A1533" s="34"/>
      <c r="B1533" s="35"/>
      <c r="C1533" s="35"/>
      <c r="D1533" s="35"/>
      <c r="E1533" s="35"/>
      <c r="F1533" s="27"/>
    </row>
    <row r="1534" spans="1:6" x14ac:dyDescent="0.2">
      <c r="A1534" s="36"/>
      <c r="B1534" s="35"/>
      <c r="C1534" s="35"/>
      <c r="D1534" s="35"/>
      <c r="E1534" s="35"/>
      <c r="F1534" s="27"/>
    </row>
    <row r="1535" spans="1:6" x14ac:dyDescent="0.2">
      <c r="A1535" s="36"/>
      <c r="B1535" s="35"/>
      <c r="C1535" s="35"/>
      <c r="D1535" s="35"/>
      <c r="E1535" s="35"/>
      <c r="F1535" s="27"/>
    </row>
    <row r="1536" spans="1:6" x14ac:dyDescent="0.2">
      <c r="A1536" s="36"/>
      <c r="B1536" s="35"/>
      <c r="C1536" s="35"/>
      <c r="D1536" s="35"/>
      <c r="E1536" s="35"/>
      <c r="F1536" s="27"/>
    </row>
    <row r="1537" spans="1:6" x14ac:dyDescent="0.2">
      <c r="A1537" s="34"/>
      <c r="B1537" s="35"/>
      <c r="C1537" s="35"/>
      <c r="D1537" s="35"/>
      <c r="E1537" s="35"/>
      <c r="F1537" s="27"/>
    </row>
    <row r="1538" spans="1:6" x14ac:dyDescent="0.2">
      <c r="A1538" s="36"/>
      <c r="B1538" s="35"/>
      <c r="C1538" s="35"/>
      <c r="D1538" s="35"/>
      <c r="E1538" s="35"/>
      <c r="F1538" s="27"/>
    </row>
    <row r="1539" spans="1:6" x14ac:dyDescent="0.2">
      <c r="A1539" s="36"/>
      <c r="B1539" s="35"/>
      <c r="C1539" s="35"/>
      <c r="D1539" s="35"/>
      <c r="E1539" s="35"/>
      <c r="F1539" s="27"/>
    </row>
    <row r="1540" spans="1:6" x14ac:dyDescent="0.2">
      <c r="A1540" s="36"/>
      <c r="B1540" s="35"/>
      <c r="C1540" s="35"/>
      <c r="D1540" s="35"/>
      <c r="E1540" s="35"/>
      <c r="F1540" s="27"/>
    </row>
    <row r="1541" spans="1:6" x14ac:dyDescent="0.2">
      <c r="A1541" s="36"/>
      <c r="B1541" s="35"/>
      <c r="C1541" s="35"/>
      <c r="D1541" s="35"/>
      <c r="E1541" s="35"/>
      <c r="F1541" s="27"/>
    </row>
    <row r="1542" spans="1:6" x14ac:dyDescent="0.2">
      <c r="A1542" s="36"/>
      <c r="B1542" s="35"/>
      <c r="C1542" s="35"/>
      <c r="D1542" s="35"/>
      <c r="E1542" s="35"/>
      <c r="F1542" s="27"/>
    </row>
    <row r="1543" spans="1:6" x14ac:dyDescent="0.2">
      <c r="A1543" s="34"/>
      <c r="B1543" s="35"/>
      <c r="C1543" s="35"/>
      <c r="D1543" s="35"/>
      <c r="E1543" s="35"/>
      <c r="F1543" s="27"/>
    </row>
    <row r="1544" spans="1:6" x14ac:dyDescent="0.2">
      <c r="A1544" s="34"/>
      <c r="B1544" s="35"/>
      <c r="C1544" s="35"/>
      <c r="D1544" s="35"/>
      <c r="E1544" s="35"/>
      <c r="F1544" s="27"/>
    </row>
    <row r="1545" spans="1:6" x14ac:dyDescent="0.2">
      <c r="A1545" s="34"/>
      <c r="B1545" s="35"/>
      <c r="C1545" s="35"/>
      <c r="D1545" s="35"/>
      <c r="E1545" s="35"/>
      <c r="F1545" s="27"/>
    </row>
    <row r="1546" spans="1:6" x14ac:dyDescent="0.2">
      <c r="A1546" s="34"/>
      <c r="B1546" s="35"/>
      <c r="C1546" s="35"/>
      <c r="D1546" s="35"/>
      <c r="E1546" s="35"/>
      <c r="F1546" s="27"/>
    </row>
    <row r="1547" spans="1:6" x14ac:dyDescent="0.2">
      <c r="A1547" s="34"/>
      <c r="B1547" s="35"/>
      <c r="C1547" s="35"/>
      <c r="D1547" s="35"/>
      <c r="E1547" s="35"/>
      <c r="F1547" s="27"/>
    </row>
    <row r="1548" spans="1:6" x14ac:dyDescent="0.2">
      <c r="A1548" s="34"/>
      <c r="B1548" s="35"/>
      <c r="C1548" s="35"/>
      <c r="D1548" s="35"/>
      <c r="E1548" s="35"/>
      <c r="F1548" s="27"/>
    </row>
    <row r="1549" spans="1:6" x14ac:dyDescent="0.2">
      <c r="A1549" s="34"/>
      <c r="B1549" s="35"/>
      <c r="C1549" s="35"/>
      <c r="D1549" s="35"/>
      <c r="E1549" s="35"/>
      <c r="F1549" s="27"/>
    </row>
    <row r="1550" spans="1:6" x14ac:dyDescent="0.2">
      <c r="A1550" s="34"/>
      <c r="B1550" s="35"/>
      <c r="C1550" s="35"/>
      <c r="D1550" s="35"/>
      <c r="E1550" s="35"/>
      <c r="F1550" s="27"/>
    </row>
    <row r="1551" spans="1:6" x14ac:dyDescent="0.2">
      <c r="A1551" s="36"/>
      <c r="B1551" s="35"/>
      <c r="C1551" s="35"/>
      <c r="D1551" s="35"/>
      <c r="E1551" s="35"/>
      <c r="F1551" s="27"/>
    </row>
    <row r="1552" spans="1:6" x14ac:dyDescent="0.2">
      <c r="A1552" s="34"/>
      <c r="B1552" s="35"/>
      <c r="C1552" s="35"/>
      <c r="D1552" s="35"/>
      <c r="E1552" s="35"/>
      <c r="F1552" s="27"/>
    </row>
    <row r="1553" spans="1:6" x14ac:dyDescent="0.2">
      <c r="A1553" s="36"/>
      <c r="B1553" s="35"/>
      <c r="C1553" s="35"/>
      <c r="D1553" s="35"/>
      <c r="E1553" s="35"/>
      <c r="F1553" s="27"/>
    </row>
    <row r="1554" spans="1:6" x14ac:dyDescent="0.2">
      <c r="A1554" s="36"/>
      <c r="B1554" s="35"/>
      <c r="C1554" s="35"/>
      <c r="D1554" s="35"/>
      <c r="E1554" s="35"/>
      <c r="F1554" s="27"/>
    </row>
    <row r="1555" spans="1:6" x14ac:dyDescent="0.2">
      <c r="A1555" s="34"/>
      <c r="B1555" s="35"/>
      <c r="C1555" s="35"/>
      <c r="D1555" s="35"/>
      <c r="E1555" s="35"/>
      <c r="F1555" s="27"/>
    </row>
    <row r="1556" spans="1:6" x14ac:dyDescent="0.2">
      <c r="A1556" s="36"/>
      <c r="B1556" s="35"/>
      <c r="C1556" s="35"/>
      <c r="D1556" s="35"/>
      <c r="E1556" s="35"/>
      <c r="F1556" s="27"/>
    </row>
    <row r="1557" spans="1:6" x14ac:dyDescent="0.2">
      <c r="A1557" s="36"/>
      <c r="B1557" s="35"/>
      <c r="C1557" s="35"/>
      <c r="D1557" s="35"/>
      <c r="E1557" s="35"/>
      <c r="F1557" s="27"/>
    </row>
    <row r="1558" spans="1:6" x14ac:dyDescent="0.2">
      <c r="A1558" s="34"/>
      <c r="B1558" s="35"/>
      <c r="C1558" s="35"/>
      <c r="D1558" s="35"/>
      <c r="E1558" s="35"/>
      <c r="F1558" s="27"/>
    </row>
    <row r="1559" spans="1:6" x14ac:dyDescent="0.2">
      <c r="A1559" s="36"/>
      <c r="B1559" s="35"/>
      <c r="C1559" s="35"/>
      <c r="D1559" s="35"/>
      <c r="E1559" s="35"/>
      <c r="F1559" s="27"/>
    </row>
    <row r="1560" spans="1:6" x14ac:dyDescent="0.2">
      <c r="A1560" s="36"/>
      <c r="B1560" s="35"/>
      <c r="C1560" s="35"/>
      <c r="D1560" s="35"/>
      <c r="E1560" s="35"/>
      <c r="F1560" s="27"/>
    </row>
    <row r="1561" spans="1:6" x14ac:dyDescent="0.2">
      <c r="A1561" s="36"/>
      <c r="B1561" s="35"/>
      <c r="C1561" s="35"/>
      <c r="D1561" s="35"/>
      <c r="E1561" s="35"/>
      <c r="F1561" s="27"/>
    </row>
    <row r="1562" spans="1:6" x14ac:dyDescent="0.2">
      <c r="A1562" s="34"/>
      <c r="B1562" s="35"/>
      <c r="C1562" s="35"/>
      <c r="D1562" s="35"/>
      <c r="E1562" s="35"/>
      <c r="F1562" s="27"/>
    </row>
    <row r="1563" spans="1:6" x14ac:dyDescent="0.2">
      <c r="A1563" s="36"/>
      <c r="B1563" s="35"/>
      <c r="C1563" s="35"/>
      <c r="D1563" s="35"/>
      <c r="E1563" s="35"/>
      <c r="F1563" s="27"/>
    </row>
    <row r="1564" spans="1:6" x14ac:dyDescent="0.2">
      <c r="A1564" s="34"/>
      <c r="B1564" s="35"/>
      <c r="C1564" s="35"/>
      <c r="D1564" s="35"/>
      <c r="E1564" s="35"/>
      <c r="F1564" s="27"/>
    </row>
    <row r="1565" spans="1:6" x14ac:dyDescent="0.2">
      <c r="A1565" s="36"/>
      <c r="B1565" s="35"/>
      <c r="C1565" s="35"/>
      <c r="D1565" s="35"/>
      <c r="E1565" s="35"/>
      <c r="F1565" s="27"/>
    </row>
    <row r="1566" spans="1:6" x14ac:dyDescent="0.2">
      <c r="A1566" s="36"/>
      <c r="B1566" s="35"/>
      <c r="C1566" s="35"/>
      <c r="D1566" s="35"/>
      <c r="E1566" s="35"/>
      <c r="F1566" s="27"/>
    </row>
    <row r="1567" spans="1:6" x14ac:dyDescent="0.2">
      <c r="A1567" s="36"/>
      <c r="B1567" s="35"/>
      <c r="C1567" s="35"/>
      <c r="D1567" s="35"/>
      <c r="E1567" s="35"/>
      <c r="F1567" s="27"/>
    </row>
    <row r="1568" spans="1:6" x14ac:dyDescent="0.2">
      <c r="A1568" s="36"/>
      <c r="B1568" s="35"/>
      <c r="C1568" s="35"/>
      <c r="D1568" s="35"/>
      <c r="E1568" s="35"/>
      <c r="F1568" s="27"/>
    </row>
    <row r="1569" spans="1:6" x14ac:dyDescent="0.2">
      <c r="A1569" s="34"/>
      <c r="B1569" s="35"/>
      <c r="C1569" s="35"/>
      <c r="D1569" s="35"/>
      <c r="E1569" s="35"/>
      <c r="F1569" s="27"/>
    </row>
    <row r="1570" spans="1:6" x14ac:dyDescent="0.2">
      <c r="A1570" s="36"/>
      <c r="B1570" s="35"/>
      <c r="C1570" s="35"/>
      <c r="D1570" s="35"/>
      <c r="E1570" s="35"/>
      <c r="F1570" s="27"/>
    </row>
    <row r="1571" spans="1:6" x14ac:dyDescent="0.2">
      <c r="A1571" s="34"/>
      <c r="B1571" s="35"/>
      <c r="C1571" s="35"/>
      <c r="D1571" s="35"/>
      <c r="E1571" s="35"/>
      <c r="F1571" s="27"/>
    </row>
    <row r="1572" spans="1:6" x14ac:dyDescent="0.2">
      <c r="F1572" s="27"/>
    </row>
    <row r="1573" spans="1:6" x14ac:dyDescent="0.2">
      <c r="F1573" s="27"/>
    </row>
    <row r="1574" spans="1:6" x14ac:dyDescent="0.2">
      <c r="F1574" s="27"/>
    </row>
    <row r="1575" spans="1:6" x14ac:dyDescent="0.2">
      <c r="F1575" s="27"/>
    </row>
    <row r="1576" spans="1:6" x14ac:dyDescent="0.2">
      <c r="F1576" s="27"/>
    </row>
    <row r="1577" spans="1:6" x14ac:dyDescent="0.2">
      <c r="F1577" s="27"/>
    </row>
    <row r="1578" spans="1:6" x14ac:dyDescent="0.2">
      <c r="F1578" s="27"/>
    </row>
    <row r="1579" spans="1:6" x14ac:dyDescent="0.2">
      <c r="F1579" s="27"/>
    </row>
    <row r="1580" spans="1:6" x14ac:dyDescent="0.2">
      <c r="F1580" s="27"/>
    </row>
    <row r="1581" spans="1:6" x14ac:dyDescent="0.2">
      <c r="F1581" s="27"/>
    </row>
    <row r="1582" spans="1:6" x14ac:dyDescent="0.2">
      <c r="F1582" s="27"/>
    </row>
    <row r="1583" spans="1:6" x14ac:dyDescent="0.2">
      <c r="F1583" s="27"/>
    </row>
    <row r="1584" spans="1:6" x14ac:dyDescent="0.2">
      <c r="A1584" s="27"/>
      <c r="B1584" s="35"/>
      <c r="F1584" s="27"/>
    </row>
    <row r="1585" spans="1:6" x14ac:dyDescent="0.2">
      <c r="A1585" s="27"/>
      <c r="B1585" s="35"/>
      <c r="F1585" s="27"/>
    </row>
    <row r="1586" spans="1:6" x14ac:dyDescent="0.2">
      <c r="A1586" s="27"/>
      <c r="B1586" s="35"/>
      <c r="F1586" s="27"/>
    </row>
    <row r="1587" spans="1:6" x14ac:dyDescent="0.2">
      <c r="F1587" s="27"/>
    </row>
    <row r="1588" spans="1:6" x14ac:dyDescent="0.2">
      <c r="F1588" s="27"/>
    </row>
    <row r="1589" spans="1:6" x14ac:dyDescent="0.2">
      <c r="F1589" s="27"/>
    </row>
    <row r="1590" spans="1:6" x14ac:dyDescent="0.2">
      <c r="F1590" s="27"/>
    </row>
    <row r="1591" spans="1:6" x14ac:dyDescent="0.2">
      <c r="F1591" s="27"/>
    </row>
    <row r="1592" spans="1:6" x14ac:dyDescent="0.2">
      <c r="F1592" s="27"/>
    </row>
    <row r="1593" spans="1:6" x14ac:dyDescent="0.2">
      <c r="F1593" s="27"/>
    </row>
    <row r="1594" spans="1:6" x14ac:dyDescent="0.2">
      <c r="F1594" s="27"/>
    </row>
    <row r="1595" spans="1:6" x14ac:dyDescent="0.2">
      <c r="F1595" s="27"/>
    </row>
    <row r="1596" spans="1:6" x14ac:dyDescent="0.2">
      <c r="F1596" s="27"/>
    </row>
    <row r="1597" spans="1:6" x14ac:dyDescent="0.2">
      <c r="F1597" s="27"/>
    </row>
    <row r="1598" spans="1:6" x14ac:dyDescent="0.2">
      <c r="F1598" s="27"/>
    </row>
    <row r="1599" spans="1:6" x14ac:dyDescent="0.2">
      <c r="F1599" s="27"/>
    </row>
    <row r="1600" spans="1:6" x14ac:dyDescent="0.2">
      <c r="F1600" s="27"/>
    </row>
    <row r="1601" spans="1:6" x14ac:dyDescent="0.2">
      <c r="F1601" s="27"/>
    </row>
    <row r="1602" spans="1:6" x14ac:dyDescent="0.2">
      <c r="A1602" s="27"/>
      <c r="F1602" s="27"/>
    </row>
    <row r="1603" spans="1:6" x14ac:dyDescent="0.2">
      <c r="A1603" s="27"/>
      <c r="F1603" s="27"/>
    </row>
    <row r="1604" spans="1:6" x14ac:dyDescent="0.2">
      <c r="A1604" s="27"/>
      <c r="F1604" s="27"/>
    </row>
    <row r="1605" spans="1:6" x14ac:dyDescent="0.2">
      <c r="A1605" s="27"/>
      <c r="F1605" s="27"/>
    </row>
    <row r="1606" spans="1:6" x14ac:dyDescent="0.2">
      <c r="A1606" s="27"/>
      <c r="F1606" s="27"/>
    </row>
    <row r="1607" spans="1:6" x14ac:dyDescent="0.2">
      <c r="A1607" s="27"/>
      <c r="F1607" s="27"/>
    </row>
    <row r="1608" spans="1:6" x14ac:dyDescent="0.2">
      <c r="A1608" s="27"/>
      <c r="F1608" s="27"/>
    </row>
    <row r="1609" spans="1:6" x14ac:dyDescent="0.2">
      <c r="A1609" s="27"/>
      <c r="F1609" s="27"/>
    </row>
    <row r="1610" spans="1:6" x14ac:dyDescent="0.2">
      <c r="A1610" s="27"/>
      <c r="F1610" s="27"/>
    </row>
    <row r="1611" spans="1:6" x14ac:dyDescent="0.2">
      <c r="A1611" s="27"/>
      <c r="F1611" s="27"/>
    </row>
    <row r="1612" spans="1:6" x14ac:dyDescent="0.2">
      <c r="A1612" s="27"/>
      <c r="F1612" s="27"/>
    </row>
    <row r="1613" spans="1:6" x14ac:dyDescent="0.2">
      <c r="A1613" s="27"/>
      <c r="F1613" s="27"/>
    </row>
    <row r="1614" spans="1:6" x14ac:dyDescent="0.2">
      <c r="A1614" s="27"/>
      <c r="F1614" s="27"/>
    </row>
    <row r="1615" spans="1:6" x14ac:dyDescent="0.2">
      <c r="A1615" s="27"/>
      <c r="F1615" s="27"/>
    </row>
    <row r="1616" spans="1:6" x14ac:dyDescent="0.2">
      <c r="A1616" s="27"/>
      <c r="F1616" s="27"/>
    </row>
    <row r="1617" spans="1:6" x14ac:dyDescent="0.2">
      <c r="A1617" s="27"/>
      <c r="F1617" s="27"/>
    </row>
    <row r="1618" spans="1:6" x14ac:dyDescent="0.2">
      <c r="A1618" s="27"/>
      <c r="F1618" s="27"/>
    </row>
    <row r="1619" spans="1:6" x14ac:dyDescent="0.2">
      <c r="A1619" s="27"/>
      <c r="F1619" s="27"/>
    </row>
    <row r="1620" spans="1:6" x14ac:dyDescent="0.2">
      <c r="A1620" s="27"/>
      <c r="F1620" s="27"/>
    </row>
    <row r="1621" spans="1:6" x14ac:dyDescent="0.2">
      <c r="A1621" s="27"/>
      <c r="F1621" s="27"/>
    </row>
    <row r="1622" spans="1:6" x14ac:dyDescent="0.2">
      <c r="A1622" s="27"/>
      <c r="F1622" s="27"/>
    </row>
    <row r="1623" spans="1:6" x14ac:dyDescent="0.2">
      <c r="A1623" s="27"/>
      <c r="F1623" s="27"/>
    </row>
    <row r="1624" spans="1:6" x14ac:dyDescent="0.2">
      <c r="A1624" s="27"/>
      <c r="F1624" s="27"/>
    </row>
    <row r="1625" spans="1:6" x14ac:dyDescent="0.2">
      <c r="A1625" s="27"/>
      <c r="F1625" s="27"/>
    </row>
    <row r="1626" spans="1:6" x14ac:dyDescent="0.2">
      <c r="A1626" s="27"/>
      <c r="F1626" s="27"/>
    </row>
    <row r="1627" spans="1:6" x14ac:dyDescent="0.2">
      <c r="A1627" s="27"/>
      <c r="F1627" s="27"/>
    </row>
    <row r="1628" spans="1:6" x14ac:dyDescent="0.2">
      <c r="A1628" s="27"/>
      <c r="F1628" s="27"/>
    </row>
    <row r="1629" spans="1:6" x14ac:dyDescent="0.2">
      <c r="A1629" s="27"/>
      <c r="F1629" s="27"/>
    </row>
    <row r="1630" spans="1:6" x14ac:dyDescent="0.2">
      <c r="A1630" s="27"/>
      <c r="F1630" s="27"/>
    </row>
    <row r="1631" spans="1:6" x14ac:dyDescent="0.2">
      <c r="A1631" s="27"/>
      <c r="F1631" s="27"/>
    </row>
    <row r="1632" spans="1:6" x14ac:dyDescent="0.2">
      <c r="A1632" s="27"/>
      <c r="F1632" s="27"/>
    </row>
    <row r="1633" spans="1:6" x14ac:dyDescent="0.2">
      <c r="A1633" s="27"/>
      <c r="F1633" s="27"/>
    </row>
    <row r="1634" spans="1:6" x14ac:dyDescent="0.2">
      <c r="A1634" s="27"/>
      <c r="F1634" s="27"/>
    </row>
    <row r="1635" spans="1:6" x14ac:dyDescent="0.2">
      <c r="A1635" s="27"/>
      <c r="F1635" s="27"/>
    </row>
    <row r="1636" spans="1:6" x14ac:dyDescent="0.2">
      <c r="A1636" s="27"/>
      <c r="F1636" s="27"/>
    </row>
    <row r="1637" spans="1:6" x14ac:dyDescent="0.2">
      <c r="A1637" s="27"/>
      <c r="F1637" s="27"/>
    </row>
    <row r="1638" spans="1:6" x14ac:dyDescent="0.2">
      <c r="A1638" s="27"/>
      <c r="F1638" s="27"/>
    </row>
    <row r="1639" spans="1:6" x14ac:dyDescent="0.2">
      <c r="A1639" s="27"/>
      <c r="F1639" s="27"/>
    </row>
    <row r="1640" spans="1:6" x14ac:dyDescent="0.2">
      <c r="A1640" s="27"/>
      <c r="F1640" s="27"/>
    </row>
    <row r="1641" spans="1:6" x14ac:dyDescent="0.2">
      <c r="A1641" s="27"/>
      <c r="F1641" s="27"/>
    </row>
    <row r="1642" spans="1:6" x14ac:dyDescent="0.2">
      <c r="A1642" s="27"/>
      <c r="F1642" s="27"/>
    </row>
    <row r="1643" spans="1:6" x14ac:dyDescent="0.2">
      <c r="A1643" s="27"/>
      <c r="F1643" s="27"/>
    </row>
    <row r="1644" spans="1:6" x14ac:dyDescent="0.2">
      <c r="A1644" s="27"/>
      <c r="F1644" s="27"/>
    </row>
    <row r="1645" spans="1:6" x14ac:dyDescent="0.2">
      <c r="A1645" s="27"/>
      <c r="F1645" s="27"/>
    </row>
    <row r="1646" spans="1:6" x14ac:dyDescent="0.2">
      <c r="A1646" s="27"/>
      <c r="F1646" s="27"/>
    </row>
    <row r="1647" spans="1:6" x14ac:dyDescent="0.2">
      <c r="A1647" s="27"/>
      <c r="F1647" s="27"/>
    </row>
    <row r="1648" spans="1:6" x14ac:dyDescent="0.2">
      <c r="A1648" s="27"/>
      <c r="F1648" s="27"/>
    </row>
    <row r="1649" spans="1:6" x14ac:dyDescent="0.2">
      <c r="A1649" s="27"/>
      <c r="F1649" s="27"/>
    </row>
    <row r="1650" spans="1:6" x14ac:dyDescent="0.2">
      <c r="A1650" s="27"/>
      <c r="F1650" s="27"/>
    </row>
    <row r="1651" spans="1:6" x14ac:dyDescent="0.2">
      <c r="A1651" s="27"/>
      <c r="F1651" s="27"/>
    </row>
    <row r="1652" spans="1:6" x14ac:dyDescent="0.2">
      <c r="A1652" s="27"/>
      <c r="F1652" s="27"/>
    </row>
    <row r="1653" spans="1:6" x14ac:dyDescent="0.2">
      <c r="A1653" s="27"/>
      <c r="F1653" s="27"/>
    </row>
    <row r="1654" spans="1:6" x14ac:dyDescent="0.2">
      <c r="A1654" s="27"/>
      <c r="F1654" s="27"/>
    </row>
    <row r="1655" spans="1:6" x14ac:dyDescent="0.2">
      <c r="A1655" s="27"/>
      <c r="F1655" s="27"/>
    </row>
    <row r="1656" spans="1:6" x14ac:dyDescent="0.2">
      <c r="A1656" s="27"/>
      <c r="F1656" s="27"/>
    </row>
    <row r="1657" spans="1:6" x14ac:dyDescent="0.2">
      <c r="A1657" s="27"/>
      <c r="F1657" s="27"/>
    </row>
    <row r="1658" spans="1:6" x14ac:dyDescent="0.2">
      <c r="A1658" s="27"/>
      <c r="F1658" s="27"/>
    </row>
    <row r="1659" spans="1:6" x14ac:dyDescent="0.2">
      <c r="A1659" s="27"/>
      <c r="F1659" s="27"/>
    </row>
    <row r="1660" spans="1:6" x14ac:dyDescent="0.2">
      <c r="A1660" s="27"/>
      <c r="F1660" s="27"/>
    </row>
    <row r="1661" spans="1:6" x14ac:dyDescent="0.2">
      <c r="A1661" s="27"/>
      <c r="F1661" s="27"/>
    </row>
    <row r="1662" spans="1:6" x14ac:dyDescent="0.2">
      <c r="A1662" s="27"/>
      <c r="F1662" s="27"/>
    </row>
    <row r="1663" spans="1:6" x14ac:dyDescent="0.2">
      <c r="A1663" s="27"/>
      <c r="F1663" s="27"/>
    </row>
    <row r="1664" spans="1:6" x14ac:dyDescent="0.2">
      <c r="A1664" s="27"/>
      <c r="F1664" s="27"/>
    </row>
    <row r="1665" spans="1:6" x14ac:dyDescent="0.2">
      <c r="A1665" s="27"/>
      <c r="F1665" s="27"/>
    </row>
    <row r="1666" spans="1:6" x14ac:dyDescent="0.2">
      <c r="A1666" s="27"/>
      <c r="F1666" s="27"/>
    </row>
    <row r="1667" spans="1:6" x14ac:dyDescent="0.2">
      <c r="A1667" s="27"/>
      <c r="F1667" s="27"/>
    </row>
    <row r="1668" spans="1:6" x14ac:dyDescent="0.2">
      <c r="A1668" s="27"/>
      <c r="F1668" s="27"/>
    </row>
    <row r="1681" spans="1:6" x14ac:dyDescent="0.2">
      <c r="A1681" s="27"/>
      <c r="F1681" s="27"/>
    </row>
    <row r="1682" spans="1:6" x14ac:dyDescent="0.2">
      <c r="A1682" s="27"/>
      <c r="F1682" s="27"/>
    </row>
    <row r="1683" spans="1:6" x14ac:dyDescent="0.2">
      <c r="A1683" s="27"/>
      <c r="F1683" s="27"/>
    </row>
  </sheetData>
  <autoFilter ref="A16:N1466"/>
  <mergeCells count="10">
    <mergeCell ref="H9:N9"/>
    <mergeCell ref="H10:N10"/>
    <mergeCell ref="A14:N14"/>
    <mergeCell ref="A13:N13"/>
    <mergeCell ref="H1:N1"/>
    <mergeCell ref="H2:N2"/>
    <mergeCell ref="H3:N3"/>
    <mergeCell ref="H4:N4"/>
    <mergeCell ref="H7:N7"/>
    <mergeCell ref="H8:N8"/>
  </mergeCells>
  <phoneticPr fontId="7" type="noConversion"/>
  <dataValidations count="3">
    <dataValidation type="list" allowBlank="1" showInputMessage="1" showErrorMessage="1" sqref="B1342:B1463 B1294:B1336 B17:B238 B244:B1288">
      <formula1>Код_КЦСР</formula1>
    </dataValidation>
    <dataValidation type="list" allowBlank="1" showInputMessage="1" showErrorMessage="1" sqref="E17:E1463">
      <formula1>Код_КВР</formula1>
    </dataValidation>
    <dataValidation type="list" allowBlank="1" showInputMessage="1" showErrorMessage="1" sqref="C17:C1463">
      <formula1>Код_Раздел</formula1>
    </dataValidation>
  </dataValidations>
  <pageMargins left="1.3779527559055118" right="0.39370078740157483" top="0.78740157480314965" bottom="0.59055118110236227" header="0.31496062992125984" footer="0.31496062992125984"/>
  <pageSetup paperSize="9" scale="44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99"/>
    <pageSetUpPr fitToPage="1"/>
  </sheetPr>
  <dimension ref="A1:O2112"/>
  <sheetViews>
    <sheetView showZeros="0" view="pageBreakPreview" zoomScale="80" zoomScaleNormal="84" zoomScaleSheetLayoutView="80" workbookViewId="0">
      <selection activeCell="F1337" sqref="F1337"/>
    </sheetView>
  </sheetViews>
  <sheetFormatPr defaultColWidth="9.140625" defaultRowHeight="16.5" x14ac:dyDescent="0.2"/>
  <cols>
    <col min="1" max="1" width="82.7109375" style="30" customWidth="1"/>
    <col min="2" max="2" width="11" style="68" customWidth="1"/>
    <col min="3" max="3" width="10.140625" style="68" customWidth="1"/>
    <col min="4" max="4" width="10.85546875" style="68" customWidth="1"/>
    <col min="5" max="5" width="18.5703125" style="69" customWidth="1"/>
    <col min="6" max="6" width="11.28515625" style="68" customWidth="1"/>
    <col min="7" max="7" width="23" style="78" hidden="1" customWidth="1"/>
    <col min="8" max="8" width="18.28515625" style="124" hidden="1" customWidth="1"/>
    <col min="9" max="9" width="28.42578125" style="122" hidden="1" customWidth="1"/>
    <col min="10" max="10" width="18.42578125" style="68" hidden="1" customWidth="1"/>
    <col min="11" max="11" width="28.5703125" style="68" hidden="1" customWidth="1"/>
    <col min="12" max="12" width="21.28515625" style="68" hidden="1" customWidth="1"/>
    <col min="13" max="13" width="23.140625" style="122" customWidth="1"/>
    <col min="14" max="14" width="20.140625" style="68" customWidth="1"/>
    <col min="15" max="15" width="22.42578125" style="68" customWidth="1"/>
    <col min="16" max="16384" width="9.140625" style="68"/>
  </cols>
  <sheetData>
    <row r="1" spans="1:15" x14ac:dyDescent="0.2">
      <c r="I1" s="153" t="s">
        <v>692</v>
      </c>
      <c r="J1" s="154"/>
      <c r="K1" s="154"/>
      <c r="L1" s="154"/>
      <c r="M1" s="154"/>
      <c r="N1" s="154"/>
      <c r="O1" s="154"/>
    </row>
    <row r="2" spans="1:15" x14ac:dyDescent="0.2">
      <c r="I2" s="153" t="s">
        <v>115</v>
      </c>
      <c r="J2" s="154"/>
      <c r="K2" s="154"/>
      <c r="L2" s="154"/>
      <c r="M2" s="154"/>
      <c r="N2" s="154"/>
      <c r="O2" s="154"/>
    </row>
    <row r="3" spans="1:15" x14ac:dyDescent="0.2">
      <c r="I3" s="153" t="s">
        <v>108</v>
      </c>
      <c r="J3" s="154"/>
      <c r="K3" s="154"/>
      <c r="L3" s="154"/>
      <c r="M3" s="154"/>
      <c r="N3" s="154"/>
      <c r="O3" s="154"/>
    </row>
    <row r="4" spans="1:15" x14ac:dyDescent="0.2">
      <c r="I4" s="153" t="s">
        <v>660</v>
      </c>
      <c r="J4" s="154"/>
      <c r="K4" s="154"/>
      <c r="L4" s="154"/>
      <c r="M4" s="154"/>
      <c r="N4" s="154"/>
      <c r="O4" s="154"/>
    </row>
    <row r="5" spans="1:15" x14ac:dyDescent="0.2">
      <c r="I5" s="68"/>
    </row>
    <row r="6" spans="1:15" x14ac:dyDescent="0.2">
      <c r="I6" s="68"/>
    </row>
    <row r="7" spans="1:15" x14ac:dyDescent="0.2">
      <c r="E7" s="107"/>
      <c r="F7" s="153"/>
      <c r="G7" s="154"/>
      <c r="H7" s="125"/>
      <c r="I7" s="153" t="s">
        <v>637</v>
      </c>
      <c r="J7" s="154"/>
      <c r="K7" s="154"/>
      <c r="L7" s="154"/>
      <c r="M7" s="154"/>
      <c r="N7" s="154"/>
      <c r="O7" s="154"/>
    </row>
    <row r="8" spans="1:15" x14ac:dyDescent="0.2">
      <c r="E8" s="107"/>
      <c r="F8" s="153"/>
      <c r="G8" s="154"/>
      <c r="H8" s="125"/>
      <c r="I8" s="153" t="s">
        <v>115</v>
      </c>
      <c r="J8" s="154"/>
      <c r="K8" s="154"/>
      <c r="L8" s="154"/>
      <c r="M8" s="154"/>
      <c r="N8" s="154"/>
      <c r="O8" s="154"/>
    </row>
    <row r="9" spans="1:15" x14ac:dyDescent="0.2">
      <c r="E9" s="107"/>
      <c r="F9" s="153"/>
      <c r="G9" s="154"/>
      <c r="H9" s="125"/>
      <c r="I9" s="153" t="s">
        <v>108</v>
      </c>
      <c r="J9" s="154"/>
      <c r="K9" s="154"/>
      <c r="L9" s="154"/>
      <c r="M9" s="154"/>
      <c r="N9" s="154"/>
      <c r="O9" s="154"/>
    </row>
    <row r="10" spans="1:15" x14ac:dyDescent="0.2">
      <c r="E10" s="107"/>
      <c r="F10" s="153"/>
      <c r="G10" s="154"/>
      <c r="H10" s="125"/>
      <c r="I10" s="153" t="s">
        <v>656</v>
      </c>
      <c r="J10" s="154"/>
      <c r="K10" s="154"/>
      <c r="L10" s="154"/>
      <c r="M10" s="154"/>
      <c r="N10" s="154"/>
      <c r="O10" s="154"/>
    </row>
    <row r="11" spans="1:15" x14ac:dyDescent="0.2">
      <c r="F11" s="28"/>
    </row>
    <row r="12" spans="1:15" x14ac:dyDescent="0.2">
      <c r="F12" s="70"/>
    </row>
    <row r="13" spans="1:15" x14ac:dyDescent="0.2">
      <c r="A13" s="161" t="s">
        <v>493</v>
      </c>
      <c r="B13" s="161"/>
      <c r="C13" s="161"/>
      <c r="D13" s="161"/>
      <c r="E13" s="161"/>
      <c r="F13" s="161"/>
      <c r="G13" s="161"/>
      <c r="H13" s="160"/>
      <c r="I13" s="160"/>
      <c r="J13" s="160"/>
      <c r="K13" s="160"/>
      <c r="L13" s="160"/>
      <c r="M13" s="160"/>
      <c r="N13" s="160"/>
      <c r="O13" s="160"/>
    </row>
    <row r="14" spans="1:15" ht="38.25" customHeight="1" x14ac:dyDescent="0.2">
      <c r="A14" s="156" t="s">
        <v>537</v>
      </c>
      <c r="B14" s="156"/>
      <c r="C14" s="156"/>
      <c r="D14" s="156"/>
      <c r="E14" s="156"/>
      <c r="F14" s="156"/>
      <c r="G14" s="159"/>
      <c r="H14" s="160"/>
      <c r="I14" s="160"/>
      <c r="J14" s="160"/>
      <c r="K14" s="160"/>
      <c r="L14" s="160"/>
      <c r="M14" s="160"/>
      <c r="N14" s="160"/>
      <c r="O14" s="160"/>
    </row>
    <row r="15" spans="1:15" x14ac:dyDescent="0.2">
      <c r="A15" s="31"/>
      <c r="B15" s="105"/>
      <c r="C15" s="70"/>
      <c r="D15" s="70"/>
      <c r="E15" s="105"/>
      <c r="F15" s="70"/>
    </row>
    <row r="16" spans="1:15" x14ac:dyDescent="0.2">
      <c r="B16" s="70"/>
      <c r="C16" s="70"/>
      <c r="D16" s="70"/>
      <c r="E16" s="105"/>
      <c r="F16" s="71"/>
      <c r="G16" s="109"/>
      <c r="I16" s="109"/>
      <c r="K16" s="109"/>
      <c r="M16" s="109"/>
      <c r="O16" s="109" t="s">
        <v>116</v>
      </c>
    </row>
    <row r="17" spans="1:15" s="107" customFormat="1" ht="35.25" customHeight="1" x14ac:dyDescent="0.2">
      <c r="A17" s="72" t="s">
        <v>68</v>
      </c>
      <c r="B17" s="26" t="s">
        <v>630</v>
      </c>
      <c r="C17" s="26" t="s">
        <v>648</v>
      </c>
      <c r="D17" s="26" t="s">
        <v>84</v>
      </c>
      <c r="E17" s="26" t="s">
        <v>85</v>
      </c>
      <c r="F17" s="26" t="s">
        <v>86</v>
      </c>
      <c r="G17" s="63" t="s">
        <v>653</v>
      </c>
      <c r="H17" s="61" t="s">
        <v>652</v>
      </c>
      <c r="I17" s="8" t="s">
        <v>657</v>
      </c>
      <c r="J17" s="126" t="s">
        <v>652</v>
      </c>
      <c r="K17" s="8" t="s">
        <v>682</v>
      </c>
      <c r="L17" s="126" t="s">
        <v>652</v>
      </c>
      <c r="M17" s="8" t="s">
        <v>706</v>
      </c>
      <c r="N17" s="126" t="s">
        <v>652</v>
      </c>
      <c r="O17" s="61" t="s">
        <v>653</v>
      </c>
    </row>
    <row r="18" spans="1:15" s="107" customFormat="1" x14ac:dyDescent="0.2">
      <c r="A18" s="64" t="str">
        <f ca="1">IF(ISERROR(MATCH(B18,Код_ППП,0)),"",INDIRECT(ADDRESS(MATCH(B18,Код_ППП,0)+1,2,,,"ППП")))</f>
        <v>МЭРИЯ ГОРОДА</v>
      </c>
      <c r="B18" s="26">
        <v>801</v>
      </c>
      <c r="C18" s="65"/>
      <c r="D18" s="65"/>
      <c r="E18" s="26"/>
      <c r="F18" s="26"/>
      <c r="G18" s="66">
        <f>G19+G141+G186+G267+G281+G357+G442</f>
        <v>606696.80000000005</v>
      </c>
      <c r="H18" s="66">
        <f>H19+H141+H186+H267+H281+H357+H442</f>
        <v>7140.4</v>
      </c>
      <c r="I18" s="67">
        <f>G18+H18</f>
        <v>613837.20000000007</v>
      </c>
      <c r="J18" s="66">
        <f>J19+J141+J186+J267+J281+J357+J442+J259</f>
        <v>-1448.4</v>
      </c>
      <c r="K18" s="67">
        <f>I18+J18</f>
        <v>612388.80000000005</v>
      </c>
      <c r="L18" s="66">
        <f>L19+L141+L186+L267+L281+L357+L442+L259</f>
        <v>15500.5</v>
      </c>
      <c r="M18" s="67">
        <f>K18+L18</f>
        <v>627889.30000000005</v>
      </c>
      <c r="N18" s="66">
        <f>N19+N141+N186+N267+N281+N357+N442+N259</f>
        <v>4938.6000000000004</v>
      </c>
      <c r="O18" s="67">
        <f>M18+N18</f>
        <v>632827.9</v>
      </c>
    </row>
    <row r="19" spans="1:15" s="107" customFormat="1" x14ac:dyDescent="0.2">
      <c r="A19" s="64" t="str">
        <f ca="1">IF(ISERROR(MATCH(C19,Код_Раздел,0)),"",INDIRECT(ADDRESS(MATCH(C19,Код_Раздел,0)+1,2,,,"Раздел")))</f>
        <v>Общегосударственные вопросы</v>
      </c>
      <c r="B19" s="26">
        <v>801</v>
      </c>
      <c r="C19" s="65" t="s">
        <v>70</v>
      </c>
      <c r="D19" s="65"/>
      <c r="E19" s="26"/>
      <c r="F19" s="26"/>
      <c r="G19" s="66">
        <f>G20+G37+G44</f>
        <v>321591.80000000005</v>
      </c>
      <c r="H19" s="66">
        <f>H20+H37+H44</f>
        <v>0</v>
      </c>
      <c r="I19" s="67">
        <f t="shared" ref="I19:I82" si="0">G19+H19</f>
        <v>321591.80000000005</v>
      </c>
      <c r="J19" s="66">
        <f>J20+J37+J44</f>
        <v>0</v>
      </c>
      <c r="K19" s="67">
        <f t="shared" ref="K19:K82" si="1">I19+J19</f>
        <v>321591.80000000005</v>
      </c>
      <c r="L19" s="66">
        <f>L20+L37+L44</f>
        <v>6943.2</v>
      </c>
      <c r="M19" s="67">
        <f t="shared" ref="M19:M82" si="2">K19+L19</f>
        <v>328535.00000000006</v>
      </c>
      <c r="N19" s="66">
        <f>N20+N37+N44</f>
        <v>0</v>
      </c>
      <c r="O19" s="67">
        <f t="shared" ref="O19:O82" si="3">M19+N19</f>
        <v>328535.00000000006</v>
      </c>
    </row>
    <row r="20" spans="1:15" s="107" customFormat="1" ht="49.5" x14ac:dyDescent="0.2">
      <c r="A20" s="64" t="s">
        <v>90</v>
      </c>
      <c r="B20" s="26">
        <v>801</v>
      </c>
      <c r="C20" s="65" t="s">
        <v>70</v>
      </c>
      <c r="D20" s="65" t="s">
        <v>73</v>
      </c>
      <c r="E20" s="26"/>
      <c r="F20" s="26"/>
      <c r="G20" s="66">
        <f t="shared" ref="G20:N22" si="4">G21</f>
        <v>137855.29999999999</v>
      </c>
      <c r="H20" s="66">
        <f t="shared" si="4"/>
        <v>0</v>
      </c>
      <c r="I20" s="67">
        <f t="shared" si="0"/>
        <v>137855.29999999999</v>
      </c>
      <c r="J20" s="66">
        <f t="shared" si="4"/>
        <v>0</v>
      </c>
      <c r="K20" s="67">
        <f t="shared" si="1"/>
        <v>137855.29999999999</v>
      </c>
      <c r="L20" s="66">
        <f t="shared" si="4"/>
        <v>0</v>
      </c>
      <c r="M20" s="67">
        <f t="shared" si="2"/>
        <v>137855.29999999999</v>
      </c>
      <c r="N20" s="66">
        <f t="shared" si="4"/>
        <v>0</v>
      </c>
      <c r="O20" s="67">
        <f t="shared" si="3"/>
        <v>137855.29999999999</v>
      </c>
    </row>
    <row r="21" spans="1:15" s="107" customFormat="1" x14ac:dyDescent="0.2">
      <c r="A21" s="64" t="str">
        <f ca="1">IF(ISERROR(MATCH(E21,Код_КЦСР,0)),"",INDIRECT(ADDRESS(MATCH(E21,Код_КЦСР,0)+1,2,,,"КЦСР")))</f>
        <v>Расходы, не включенные в муниципальные программы города Череповца</v>
      </c>
      <c r="B21" s="26">
        <v>801</v>
      </c>
      <c r="C21" s="65" t="s">
        <v>70</v>
      </c>
      <c r="D21" s="65" t="s">
        <v>73</v>
      </c>
      <c r="E21" s="26" t="s">
        <v>399</v>
      </c>
      <c r="F21" s="26"/>
      <c r="G21" s="66">
        <f t="shared" si="4"/>
        <v>137855.29999999999</v>
      </c>
      <c r="H21" s="66">
        <f t="shared" si="4"/>
        <v>0</v>
      </c>
      <c r="I21" s="67">
        <f t="shared" si="0"/>
        <v>137855.29999999999</v>
      </c>
      <c r="J21" s="66">
        <f t="shared" si="4"/>
        <v>0</v>
      </c>
      <c r="K21" s="67">
        <f t="shared" si="1"/>
        <v>137855.29999999999</v>
      </c>
      <c r="L21" s="66">
        <f t="shared" si="4"/>
        <v>0</v>
      </c>
      <c r="M21" s="67">
        <f t="shared" si="2"/>
        <v>137855.29999999999</v>
      </c>
      <c r="N21" s="66">
        <f t="shared" si="4"/>
        <v>0</v>
      </c>
      <c r="O21" s="67">
        <f t="shared" si="3"/>
        <v>137855.29999999999</v>
      </c>
    </row>
    <row r="22" spans="1:15" s="107" customFormat="1" ht="33" x14ac:dyDescent="0.2">
      <c r="A22" s="73" t="str">
        <f ca="1">IF(ISERROR(MATCH(E22,Код_КЦСР,0)),"",INDIRECT(ADDRESS(MATCH(E22,Код_КЦСР,0)+1,2,,,"КЦСР")))</f>
        <v>Руководство и управление в сфере установленных функций органов местного самоуправления</v>
      </c>
      <c r="B22" s="26">
        <v>801</v>
      </c>
      <c r="C22" s="65" t="s">
        <v>70</v>
      </c>
      <c r="D22" s="65" t="s">
        <v>73</v>
      </c>
      <c r="E22" s="26" t="s">
        <v>400</v>
      </c>
      <c r="F22" s="26"/>
      <c r="G22" s="66">
        <f t="shared" si="4"/>
        <v>137855.29999999999</v>
      </c>
      <c r="H22" s="66">
        <f t="shared" si="4"/>
        <v>0</v>
      </c>
      <c r="I22" s="67">
        <f t="shared" si="0"/>
        <v>137855.29999999999</v>
      </c>
      <c r="J22" s="66">
        <f t="shared" si="4"/>
        <v>0</v>
      </c>
      <c r="K22" s="67">
        <f t="shared" si="1"/>
        <v>137855.29999999999</v>
      </c>
      <c r="L22" s="66">
        <f t="shared" si="4"/>
        <v>0</v>
      </c>
      <c r="M22" s="67">
        <f t="shared" si="2"/>
        <v>137855.29999999999</v>
      </c>
      <c r="N22" s="66">
        <f t="shared" si="4"/>
        <v>0</v>
      </c>
      <c r="O22" s="67">
        <f t="shared" si="3"/>
        <v>137855.29999999999</v>
      </c>
    </row>
    <row r="23" spans="1:15" s="107" customFormat="1" ht="33" x14ac:dyDescent="0.2">
      <c r="A23" s="64" t="str">
        <f ca="1">IF(ISERROR(MATCH(E23,Код_КЦСР,0)),"",INDIRECT(ADDRESS(MATCH(E23,Код_КЦСР,0)+1,2,,,"КЦСР")))</f>
        <v>Обеспечение деятельности исполнительных органов местного самоуправления</v>
      </c>
      <c r="B23" s="26">
        <v>801</v>
      </c>
      <c r="C23" s="65" t="s">
        <v>70</v>
      </c>
      <c r="D23" s="65" t="s">
        <v>73</v>
      </c>
      <c r="E23" s="26" t="s">
        <v>403</v>
      </c>
      <c r="F23" s="26"/>
      <c r="G23" s="66">
        <f>G24+G29+G34</f>
        <v>137855.29999999999</v>
      </c>
      <c r="H23" s="66">
        <f>H24+H29+H34</f>
        <v>0</v>
      </c>
      <c r="I23" s="67">
        <f t="shared" si="0"/>
        <v>137855.29999999999</v>
      </c>
      <c r="J23" s="66">
        <f>J24+J29+J34</f>
        <v>0</v>
      </c>
      <c r="K23" s="67">
        <f t="shared" si="1"/>
        <v>137855.29999999999</v>
      </c>
      <c r="L23" s="66">
        <f>L24+L29+L34</f>
        <v>0</v>
      </c>
      <c r="M23" s="67">
        <f t="shared" si="2"/>
        <v>137855.29999999999</v>
      </c>
      <c r="N23" s="66">
        <f>N24+N29+N34</f>
        <v>0</v>
      </c>
      <c r="O23" s="67">
        <f t="shared" si="3"/>
        <v>137855.29999999999</v>
      </c>
    </row>
    <row r="24" spans="1:15" s="107" customFormat="1" ht="24" customHeight="1" x14ac:dyDescent="0.2">
      <c r="A24" s="64" t="str">
        <f ca="1">IF(ISERROR(MATCH(E24,Код_КЦСР,0)),"",INDIRECT(ADDRESS(MATCH(E24,Код_КЦСР,0)+1,2,,,"КЦСР")))</f>
        <v>Расходы на обеспечение функций органов местного самоуправления</v>
      </c>
      <c r="B24" s="26">
        <v>801</v>
      </c>
      <c r="C24" s="65" t="s">
        <v>70</v>
      </c>
      <c r="D24" s="65" t="s">
        <v>73</v>
      </c>
      <c r="E24" s="26" t="s">
        <v>405</v>
      </c>
      <c r="F24" s="26"/>
      <c r="G24" s="66">
        <f>G25+G27</f>
        <v>135885.29999999999</v>
      </c>
      <c r="H24" s="66">
        <f>H25+H27</f>
        <v>0</v>
      </c>
      <c r="I24" s="67">
        <f t="shared" si="0"/>
        <v>135885.29999999999</v>
      </c>
      <c r="J24" s="66">
        <f>J25+J27</f>
        <v>0</v>
      </c>
      <c r="K24" s="67">
        <f t="shared" si="1"/>
        <v>135885.29999999999</v>
      </c>
      <c r="L24" s="66">
        <f>L25+L27</f>
        <v>0</v>
      </c>
      <c r="M24" s="67">
        <f t="shared" si="2"/>
        <v>135885.29999999999</v>
      </c>
      <c r="N24" s="66">
        <f>N25+N27</f>
        <v>0</v>
      </c>
      <c r="O24" s="67">
        <f t="shared" si="3"/>
        <v>135885.29999999999</v>
      </c>
    </row>
    <row r="25" spans="1:15" s="107" customFormat="1" ht="55.5" customHeight="1" x14ac:dyDescent="0.2">
      <c r="A25" s="64" t="str">
        <f ca="1">IF(ISERROR(MATCH(F25,Код_КВР,0)),"",INDIRECT(ADDRESS(MATCH(F25,Код_КВР,0)+1,2,,,"КВР")))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" s="26">
        <v>801</v>
      </c>
      <c r="C25" s="65" t="s">
        <v>70</v>
      </c>
      <c r="D25" s="65" t="s">
        <v>73</v>
      </c>
      <c r="E25" s="26" t="s">
        <v>405</v>
      </c>
      <c r="F25" s="26">
        <v>100</v>
      </c>
      <c r="G25" s="66">
        <f>G26</f>
        <v>132053.9</v>
      </c>
      <c r="H25" s="66">
        <f>H26</f>
        <v>0</v>
      </c>
      <c r="I25" s="67">
        <f t="shared" si="0"/>
        <v>132053.9</v>
      </c>
      <c r="J25" s="66">
        <f>J26</f>
        <v>0</v>
      </c>
      <c r="K25" s="67">
        <f t="shared" si="1"/>
        <v>132053.9</v>
      </c>
      <c r="L25" s="66">
        <f>L26</f>
        <v>0</v>
      </c>
      <c r="M25" s="67">
        <f t="shared" si="2"/>
        <v>132053.9</v>
      </c>
      <c r="N25" s="66">
        <f>N26</f>
        <v>0</v>
      </c>
      <c r="O25" s="67">
        <f t="shared" si="3"/>
        <v>132053.9</v>
      </c>
    </row>
    <row r="26" spans="1:15" s="107" customFormat="1" ht="27" customHeight="1" x14ac:dyDescent="0.2">
      <c r="A26" s="64" t="str">
        <f ca="1">IF(ISERROR(MATCH(F26,Код_КВР,0)),"",INDIRECT(ADDRESS(MATCH(F26,Код_КВР,0)+1,2,,,"КВР")))</f>
        <v>Расходы на выплаты персоналу государственных (муниципальных) органов</v>
      </c>
      <c r="B26" s="26">
        <v>801</v>
      </c>
      <c r="C26" s="65" t="s">
        <v>70</v>
      </c>
      <c r="D26" s="65" t="s">
        <v>73</v>
      </c>
      <c r="E26" s="26" t="s">
        <v>405</v>
      </c>
      <c r="F26" s="26">
        <v>120</v>
      </c>
      <c r="G26" s="67">
        <f>3451.9+1042.5+96909+1401+29249.5</f>
        <v>132053.9</v>
      </c>
      <c r="H26" s="67"/>
      <c r="I26" s="67">
        <f t="shared" si="0"/>
        <v>132053.9</v>
      </c>
      <c r="J26" s="67"/>
      <c r="K26" s="67">
        <f t="shared" si="1"/>
        <v>132053.9</v>
      </c>
      <c r="L26" s="67"/>
      <c r="M26" s="67">
        <f t="shared" si="2"/>
        <v>132053.9</v>
      </c>
      <c r="N26" s="67"/>
      <c r="O26" s="67">
        <f t="shared" si="3"/>
        <v>132053.9</v>
      </c>
    </row>
    <row r="27" spans="1:15" s="107" customFormat="1" ht="33" x14ac:dyDescent="0.2">
      <c r="A27" s="64" t="str">
        <f ca="1">IF(ISERROR(MATCH(F27,Код_КВР,0)),"",INDIRECT(ADDRESS(MATCH(F27,Код_КВР,0)+1,2,,,"КВР")))</f>
        <v>Закупка товаров, работ и услуг для обеспечения государственных (муниципальных) нужд</v>
      </c>
      <c r="B27" s="26">
        <v>801</v>
      </c>
      <c r="C27" s="65" t="s">
        <v>70</v>
      </c>
      <c r="D27" s="65" t="s">
        <v>73</v>
      </c>
      <c r="E27" s="26" t="s">
        <v>405</v>
      </c>
      <c r="F27" s="26">
        <v>200</v>
      </c>
      <c r="G27" s="66">
        <f>G28</f>
        <v>3831.4</v>
      </c>
      <c r="H27" s="66">
        <f>H28</f>
        <v>0</v>
      </c>
      <c r="I27" s="67">
        <f t="shared" si="0"/>
        <v>3831.4</v>
      </c>
      <c r="J27" s="66">
        <f>J28</f>
        <v>0</v>
      </c>
      <c r="K27" s="67">
        <f t="shared" si="1"/>
        <v>3831.4</v>
      </c>
      <c r="L27" s="66">
        <f>L28</f>
        <v>0</v>
      </c>
      <c r="M27" s="67">
        <f t="shared" si="2"/>
        <v>3831.4</v>
      </c>
      <c r="N27" s="66">
        <f>N28</f>
        <v>0</v>
      </c>
      <c r="O27" s="67">
        <f t="shared" si="3"/>
        <v>3831.4</v>
      </c>
    </row>
    <row r="28" spans="1:15" s="107" customFormat="1" ht="33" x14ac:dyDescent="0.2">
      <c r="A28" s="64" t="str">
        <f ca="1">IF(ISERROR(MATCH(F28,Код_КВР,0)),"",INDIRECT(ADDRESS(MATCH(F28,Код_КВР,0)+1,2,,,"КВР")))</f>
        <v>Иные закупки товаров, работ и услуг для обеспечения государственных (муниципальных) нужд</v>
      </c>
      <c r="B28" s="26">
        <v>801</v>
      </c>
      <c r="C28" s="65" t="s">
        <v>70</v>
      </c>
      <c r="D28" s="65" t="s">
        <v>73</v>
      </c>
      <c r="E28" s="26" t="s">
        <v>405</v>
      </c>
      <c r="F28" s="26">
        <v>240</v>
      </c>
      <c r="G28" s="66">
        <v>3831.4</v>
      </c>
      <c r="H28" s="67"/>
      <c r="I28" s="67">
        <f t="shared" si="0"/>
        <v>3831.4</v>
      </c>
      <c r="J28" s="66"/>
      <c r="K28" s="67">
        <f t="shared" si="1"/>
        <v>3831.4</v>
      </c>
      <c r="L28" s="66"/>
      <c r="M28" s="67">
        <f t="shared" si="2"/>
        <v>3831.4</v>
      </c>
      <c r="N28" s="66"/>
      <c r="O28" s="67">
        <f t="shared" si="3"/>
        <v>3831.4</v>
      </c>
    </row>
    <row r="29" spans="1:15" s="107" customFormat="1" ht="93.75" customHeight="1" x14ac:dyDescent="0.2">
      <c r="A29" s="64" t="str">
        <f ca="1">IF(ISERROR(MATCH(E29,Код_КЦСР,0)),"",INDIRECT(ADDRESS(MATCH(E29,Код_КЦСР,0)+1,2,,,"КЦСР")))</f>
        <v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отношений», за счет средств областного бюджета</v>
      </c>
      <c r="B29" s="26">
        <v>801</v>
      </c>
      <c r="C29" s="65" t="s">
        <v>70</v>
      </c>
      <c r="D29" s="65" t="s">
        <v>73</v>
      </c>
      <c r="E29" s="26" t="s">
        <v>428</v>
      </c>
      <c r="F29" s="26"/>
      <c r="G29" s="66">
        <f>G30+G32</f>
        <v>1970</v>
      </c>
      <c r="H29" s="66">
        <f>H30+H32</f>
        <v>0</v>
      </c>
      <c r="I29" s="67">
        <f t="shared" si="0"/>
        <v>1970</v>
      </c>
      <c r="J29" s="66">
        <f>J30+J32</f>
        <v>0</v>
      </c>
      <c r="K29" s="67">
        <f t="shared" si="1"/>
        <v>1970</v>
      </c>
      <c r="L29" s="66">
        <f>L30+L32</f>
        <v>0</v>
      </c>
      <c r="M29" s="67">
        <f t="shared" si="2"/>
        <v>1970</v>
      </c>
      <c r="N29" s="66">
        <f>N30+N32</f>
        <v>0</v>
      </c>
      <c r="O29" s="67">
        <f t="shared" si="3"/>
        <v>1970</v>
      </c>
    </row>
    <row r="30" spans="1:15" s="107" customFormat="1" ht="56.25" customHeight="1" x14ac:dyDescent="0.2">
      <c r="A30" s="64" t="str">
        <f ca="1">IF(ISERROR(MATCH(F30,Код_КВР,0)),"",INDIRECT(ADDRESS(MATCH(F30,Код_КВР,0)+1,2,,,"КВР")))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" s="26">
        <v>801</v>
      </c>
      <c r="C30" s="65" t="s">
        <v>70</v>
      </c>
      <c r="D30" s="65" t="s">
        <v>73</v>
      </c>
      <c r="E30" s="26" t="s">
        <v>428</v>
      </c>
      <c r="F30" s="26">
        <v>100</v>
      </c>
      <c r="G30" s="66">
        <f>G31</f>
        <v>1920</v>
      </c>
      <c r="H30" s="66">
        <f>H31</f>
        <v>0</v>
      </c>
      <c r="I30" s="67">
        <f t="shared" si="0"/>
        <v>1920</v>
      </c>
      <c r="J30" s="66">
        <f>J31</f>
        <v>0</v>
      </c>
      <c r="K30" s="67">
        <f t="shared" si="1"/>
        <v>1920</v>
      </c>
      <c r="L30" s="66">
        <f>L31</f>
        <v>0</v>
      </c>
      <c r="M30" s="67">
        <f t="shared" si="2"/>
        <v>1920</v>
      </c>
      <c r="N30" s="66">
        <f>N31</f>
        <v>0</v>
      </c>
      <c r="O30" s="67">
        <f t="shared" si="3"/>
        <v>1920</v>
      </c>
    </row>
    <row r="31" spans="1:15" s="107" customFormat="1" x14ac:dyDescent="0.2">
      <c r="A31" s="64" t="str">
        <f ca="1">IF(ISERROR(MATCH(F31,Код_КВР,0)),"",INDIRECT(ADDRESS(MATCH(F31,Код_КВР,0)+1,2,,,"КВР")))</f>
        <v>Расходы на выплаты персоналу государственных (муниципальных) органов</v>
      </c>
      <c r="B31" s="26">
        <v>801</v>
      </c>
      <c r="C31" s="65" t="s">
        <v>70</v>
      </c>
      <c r="D31" s="65" t="s">
        <v>73</v>
      </c>
      <c r="E31" s="26" t="s">
        <v>428</v>
      </c>
      <c r="F31" s="26">
        <v>120</v>
      </c>
      <c r="G31" s="66">
        <f>1474.7+445.3</f>
        <v>1920</v>
      </c>
      <c r="H31" s="67"/>
      <c r="I31" s="67">
        <f t="shared" si="0"/>
        <v>1920</v>
      </c>
      <c r="J31" s="66"/>
      <c r="K31" s="67">
        <f t="shared" si="1"/>
        <v>1920</v>
      </c>
      <c r="L31" s="66"/>
      <c r="M31" s="67">
        <f t="shared" si="2"/>
        <v>1920</v>
      </c>
      <c r="N31" s="66"/>
      <c r="O31" s="67">
        <f t="shared" si="3"/>
        <v>1920</v>
      </c>
    </row>
    <row r="32" spans="1:15" s="107" customFormat="1" ht="37.5" customHeight="1" x14ac:dyDescent="0.2">
      <c r="A32" s="73" t="str">
        <f ca="1">IF(ISERROR(MATCH(F32,Код_КВР,0)),"",INDIRECT(ADDRESS(MATCH(F32,Код_КВР,0)+1,2,,,"КВР")))</f>
        <v>Закупка товаров, работ и услуг для обеспечения государственных (муниципальных) нужд</v>
      </c>
      <c r="B32" s="26">
        <v>801</v>
      </c>
      <c r="C32" s="65" t="s">
        <v>70</v>
      </c>
      <c r="D32" s="65" t="s">
        <v>73</v>
      </c>
      <c r="E32" s="26" t="s">
        <v>428</v>
      </c>
      <c r="F32" s="26">
        <v>200</v>
      </c>
      <c r="G32" s="66">
        <f>G33</f>
        <v>50</v>
      </c>
      <c r="H32" s="66">
        <f>H33</f>
        <v>0</v>
      </c>
      <c r="I32" s="67">
        <f t="shared" si="0"/>
        <v>50</v>
      </c>
      <c r="J32" s="66">
        <f>J33</f>
        <v>0</v>
      </c>
      <c r="K32" s="67">
        <f t="shared" si="1"/>
        <v>50</v>
      </c>
      <c r="L32" s="66">
        <f>L33</f>
        <v>0</v>
      </c>
      <c r="M32" s="67">
        <f t="shared" si="2"/>
        <v>50</v>
      </c>
      <c r="N32" s="66">
        <f>N33</f>
        <v>0</v>
      </c>
      <c r="O32" s="67">
        <f t="shared" si="3"/>
        <v>50</v>
      </c>
    </row>
    <row r="33" spans="1:15" s="107" customFormat="1" ht="36" customHeight="1" x14ac:dyDescent="0.2">
      <c r="A33" s="64" t="str">
        <f ca="1">IF(ISERROR(MATCH(F33,Код_КВР,0)),"",INDIRECT(ADDRESS(MATCH(F33,Код_КВР,0)+1,2,,,"КВР")))</f>
        <v>Иные закупки товаров, работ и услуг для обеспечения государственных (муниципальных) нужд</v>
      </c>
      <c r="B33" s="26">
        <v>801</v>
      </c>
      <c r="C33" s="65" t="s">
        <v>70</v>
      </c>
      <c r="D33" s="65" t="s">
        <v>73</v>
      </c>
      <c r="E33" s="26" t="s">
        <v>428</v>
      </c>
      <c r="F33" s="26">
        <v>240</v>
      </c>
      <c r="G33" s="66">
        <v>50</v>
      </c>
      <c r="H33" s="67"/>
      <c r="I33" s="67">
        <f t="shared" si="0"/>
        <v>50</v>
      </c>
      <c r="J33" s="66"/>
      <c r="K33" s="67">
        <f t="shared" si="1"/>
        <v>50</v>
      </c>
      <c r="L33" s="66"/>
      <c r="M33" s="67">
        <f t="shared" si="2"/>
        <v>50</v>
      </c>
      <c r="N33" s="66"/>
      <c r="O33" s="67">
        <f t="shared" si="3"/>
        <v>50</v>
      </c>
    </row>
    <row r="34" spans="1:15" s="107" customFormat="1" ht="82.5" hidden="1" x14ac:dyDescent="0.2">
      <c r="A34" s="64" t="str">
        <f ca="1">IF(ISERROR(MATCH(E34,Код_КЦСР,0)),"",INDIRECT(ADDRESS(MATCH(E34,Код_КЦСР,0)+1,2,,,"КЦСР")))</f>
        <v>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родителей», за счет средств областного бюджета</v>
      </c>
      <c r="B34" s="26">
        <v>801</v>
      </c>
      <c r="C34" s="65" t="s">
        <v>70</v>
      </c>
      <c r="D34" s="65" t="s">
        <v>73</v>
      </c>
      <c r="E34" s="26" t="s">
        <v>429</v>
      </c>
      <c r="F34" s="26"/>
      <c r="G34" s="66">
        <f t="shared" ref="G34:G35" si="5">G35</f>
        <v>0</v>
      </c>
      <c r="H34" s="67"/>
      <c r="I34" s="67">
        <f t="shared" si="0"/>
        <v>0</v>
      </c>
      <c r="J34" s="66">
        <f t="shared" ref="J34:N35" si="6">J35</f>
        <v>0</v>
      </c>
      <c r="K34" s="67">
        <f t="shared" si="1"/>
        <v>0</v>
      </c>
      <c r="L34" s="66">
        <f t="shared" si="6"/>
        <v>0</v>
      </c>
      <c r="M34" s="67">
        <f t="shared" si="2"/>
        <v>0</v>
      </c>
      <c r="N34" s="66">
        <f t="shared" si="6"/>
        <v>0</v>
      </c>
      <c r="O34" s="67">
        <f t="shared" si="3"/>
        <v>0</v>
      </c>
    </row>
    <row r="35" spans="1:15" s="107" customFormat="1" ht="49.5" hidden="1" x14ac:dyDescent="0.2">
      <c r="A35" s="64" t="str">
        <f ca="1">IF(ISERROR(MATCH(F35,Код_КВР,0)),"",INDIRECT(ADDRESS(MATCH(F35,Код_КВР,0)+1,2,,,"КВР")))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5" s="26">
        <v>801</v>
      </c>
      <c r="C35" s="65" t="s">
        <v>70</v>
      </c>
      <c r="D35" s="65" t="s">
        <v>73</v>
      </c>
      <c r="E35" s="26" t="s">
        <v>429</v>
      </c>
      <c r="F35" s="26">
        <v>100</v>
      </c>
      <c r="G35" s="66">
        <f t="shared" si="5"/>
        <v>0</v>
      </c>
      <c r="H35" s="67"/>
      <c r="I35" s="67">
        <f t="shared" si="0"/>
        <v>0</v>
      </c>
      <c r="J35" s="66">
        <f t="shared" si="6"/>
        <v>0</v>
      </c>
      <c r="K35" s="67">
        <f t="shared" si="1"/>
        <v>0</v>
      </c>
      <c r="L35" s="66">
        <f t="shared" si="6"/>
        <v>0</v>
      </c>
      <c r="M35" s="67">
        <f t="shared" si="2"/>
        <v>0</v>
      </c>
      <c r="N35" s="66">
        <f t="shared" si="6"/>
        <v>0</v>
      </c>
      <c r="O35" s="67">
        <f t="shared" si="3"/>
        <v>0</v>
      </c>
    </row>
    <row r="36" spans="1:15" s="107" customFormat="1" ht="19.5" customHeight="1" x14ac:dyDescent="0.2">
      <c r="A36" s="64" t="str">
        <f ca="1">IF(ISERROR(MATCH(F36,Код_КВР,0)),"",INDIRECT(ADDRESS(MATCH(F36,Код_КВР,0)+1,2,,,"КВР")))</f>
        <v>Расходы на выплаты персоналу государственных (муниципальных) органов</v>
      </c>
      <c r="B36" s="26">
        <v>801</v>
      </c>
      <c r="C36" s="65" t="s">
        <v>70</v>
      </c>
      <c r="D36" s="65" t="s">
        <v>73</v>
      </c>
      <c r="E36" s="26" t="s">
        <v>429</v>
      </c>
      <c r="F36" s="26">
        <v>120</v>
      </c>
      <c r="G36" s="66"/>
      <c r="H36" s="67"/>
      <c r="I36" s="67">
        <f t="shared" si="0"/>
        <v>0</v>
      </c>
      <c r="J36" s="66"/>
      <c r="K36" s="67">
        <f t="shared" si="1"/>
        <v>0</v>
      </c>
      <c r="L36" s="66"/>
      <c r="M36" s="67">
        <f t="shared" si="2"/>
        <v>0</v>
      </c>
      <c r="N36" s="66"/>
      <c r="O36" s="67">
        <f t="shared" si="3"/>
        <v>0</v>
      </c>
    </row>
    <row r="37" spans="1:15" s="107" customFormat="1" x14ac:dyDescent="0.2">
      <c r="A37" s="50" t="s">
        <v>526</v>
      </c>
      <c r="B37" s="26">
        <v>801</v>
      </c>
      <c r="C37" s="65" t="s">
        <v>70</v>
      </c>
      <c r="D37" s="65" t="s">
        <v>78</v>
      </c>
      <c r="E37" s="26"/>
      <c r="F37" s="26"/>
      <c r="G37" s="66">
        <f>G40</f>
        <v>186</v>
      </c>
      <c r="H37" s="66">
        <f>H40</f>
        <v>0</v>
      </c>
      <c r="I37" s="67">
        <f t="shared" si="0"/>
        <v>186</v>
      </c>
      <c r="J37" s="66">
        <f>J40</f>
        <v>0</v>
      </c>
      <c r="K37" s="67">
        <f t="shared" si="1"/>
        <v>186</v>
      </c>
      <c r="L37" s="66">
        <f>L40</f>
        <v>0</v>
      </c>
      <c r="M37" s="67">
        <f t="shared" si="2"/>
        <v>186</v>
      </c>
      <c r="N37" s="66">
        <f>N40</f>
        <v>0</v>
      </c>
      <c r="O37" s="67">
        <f t="shared" si="3"/>
        <v>186</v>
      </c>
    </row>
    <row r="38" spans="1:15" s="107" customFormat="1" x14ac:dyDescent="0.2">
      <c r="A38" s="64" t="str">
        <f ca="1">IF(ISERROR(MATCH(E38,Код_КЦСР,0)),"",INDIRECT(ADDRESS(MATCH(E38,Код_КЦСР,0)+1,2,,,"КЦСР")))</f>
        <v>Расходы, не включенные в муниципальные программы города Череповца</v>
      </c>
      <c r="B38" s="26">
        <v>801</v>
      </c>
      <c r="C38" s="65" t="s">
        <v>70</v>
      </c>
      <c r="D38" s="65" t="s">
        <v>78</v>
      </c>
      <c r="E38" s="26" t="s">
        <v>399</v>
      </c>
      <c r="F38" s="26"/>
      <c r="G38" s="66">
        <f>G39</f>
        <v>186</v>
      </c>
      <c r="H38" s="66">
        <f>H39</f>
        <v>0</v>
      </c>
      <c r="I38" s="67">
        <f t="shared" si="0"/>
        <v>186</v>
      </c>
      <c r="J38" s="66">
        <f>J39</f>
        <v>0</v>
      </c>
      <c r="K38" s="67">
        <f t="shared" si="1"/>
        <v>186</v>
      </c>
      <c r="L38" s="66">
        <f>L39</f>
        <v>0</v>
      </c>
      <c r="M38" s="67">
        <f t="shared" si="2"/>
        <v>186</v>
      </c>
      <c r="N38" s="66">
        <f>N39</f>
        <v>0</v>
      </c>
      <c r="O38" s="67">
        <f t="shared" si="3"/>
        <v>186</v>
      </c>
    </row>
    <row r="39" spans="1:15" s="107" customFormat="1" ht="33" x14ac:dyDescent="0.2">
      <c r="A39" s="64" t="str">
        <f ca="1">IF(ISERROR(MATCH(E39,Код_КЦСР,0)),"",INDIRECT(ADDRESS(MATCH(E39,Код_КЦСР,0)+1,2,,,"КЦСР")))</f>
        <v>Руководство и управление в сфере установленных функций органов местного самоуправления</v>
      </c>
      <c r="B39" s="26">
        <v>801</v>
      </c>
      <c r="C39" s="65" t="s">
        <v>70</v>
      </c>
      <c r="D39" s="65" t="s">
        <v>78</v>
      </c>
      <c r="E39" s="26" t="s">
        <v>400</v>
      </c>
      <c r="F39" s="26"/>
      <c r="G39" s="66">
        <f>G40</f>
        <v>186</v>
      </c>
      <c r="H39" s="66">
        <f>H40</f>
        <v>0</v>
      </c>
      <c r="I39" s="67">
        <f t="shared" si="0"/>
        <v>186</v>
      </c>
      <c r="J39" s="66">
        <f>J40</f>
        <v>0</v>
      </c>
      <c r="K39" s="67">
        <f t="shared" si="1"/>
        <v>186</v>
      </c>
      <c r="L39" s="66">
        <f>L40</f>
        <v>0</v>
      </c>
      <c r="M39" s="67">
        <f t="shared" si="2"/>
        <v>186</v>
      </c>
      <c r="N39" s="66">
        <f>N40</f>
        <v>0</v>
      </c>
      <c r="O39" s="67">
        <f t="shared" si="3"/>
        <v>186</v>
      </c>
    </row>
    <row r="40" spans="1:15" s="107" customFormat="1" ht="33" x14ac:dyDescent="0.2">
      <c r="A40" s="64" t="str">
        <f ca="1">IF(ISERROR(MATCH(E40,Код_КЦСР,0)),"",INDIRECT(ADDRESS(MATCH(E40,Код_КЦСР,0)+1,2,,,"КЦСР")))</f>
        <v>Обеспечение деятельности исполнительных органов местного самоуправления</v>
      </c>
      <c r="B40" s="26">
        <v>801</v>
      </c>
      <c r="C40" s="65" t="s">
        <v>70</v>
      </c>
      <c r="D40" s="65" t="s">
        <v>78</v>
      </c>
      <c r="E40" s="26" t="s">
        <v>403</v>
      </c>
      <c r="F40" s="26"/>
      <c r="G40" s="66">
        <f t="shared" ref="G40:N42" si="7">G41</f>
        <v>186</v>
      </c>
      <c r="H40" s="66">
        <f t="shared" si="7"/>
        <v>0</v>
      </c>
      <c r="I40" s="67">
        <f t="shared" si="0"/>
        <v>186</v>
      </c>
      <c r="J40" s="66">
        <f t="shared" si="7"/>
        <v>0</v>
      </c>
      <c r="K40" s="67">
        <f t="shared" si="1"/>
        <v>186</v>
      </c>
      <c r="L40" s="66">
        <f t="shared" si="7"/>
        <v>0</v>
      </c>
      <c r="M40" s="67">
        <f t="shared" si="2"/>
        <v>186</v>
      </c>
      <c r="N40" s="66">
        <f t="shared" si="7"/>
        <v>0</v>
      </c>
      <c r="O40" s="67">
        <f t="shared" si="3"/>
        <v>186</v>
      </c>
    </row>
    <row r="41" spans="1:15" s="107" customFormat="1" ht="49.5" x14ac:dyDescent="0.2">
      <c r="A41" s="64" t="str">
        <f ca="1">IF(ISERROR(MATCH(E41,Код_КЦСР,0)),"",INDIRECT(ADDRESS(MATCH(E41,Код_КЦСР,0)+1,2,,,"КЦСР")))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41" s="26">
        <v>801</v>
      </c>
      <c r="C41" s="65" t="s">
        <v>70</v>
      </c>
      <c r="D41" s="65" t="s">
        <v>78</v>
      </c>
      <c r="E41" s="26" t="s">
        <v>525</v>
      </c>
      <c r="F41" s="26"/>
      <c r="G41" s="66">
        <f t="shared" si="7"/>
        <v>186</v>
      </c>
      <c r="H41" s="66">
        <f t="shared" si="7"/>
        <v>0</v>
      </c>
      <c r="I41" s="67">
        <f t="shared" si="0"/>
        <v>186</v>
      </c>
      <c r="J41" s="66">
        <f t="shared" si="7"/>
        <v>0</v>
      </c>
      <c r="K41" s="67">
        <f t="shared" si="1"/>
        <v>186</v>
      </c>
      <c r="L41" s="66">
        <f t="shared" si="7"/>
        <v>0</v>
      </c>
      <c r="M41" s="67">
        <f t="shared" si="2"/>
        <v>186</v>
      </c>
      <c r="N41" s="66">
        <f t="shared" si="7"/>
        <v>0</v>
      </c>
      <c r="O41" s="67">
        <f t="shared" si="3"/>
        <v>186</v>
      </c>
    </row>
    <row r="42" spans="1:15" s="107" customFormat="1" ht="33" x14ac:dyDescent="0.2">
      <c r="A42" s="73" t="str">
        <f ca="1">IF(ISERROR(MATCH(F42,Код_КВР,0)),"",INDIRECT(ADDRESS(MATCH(F42,Код_КВР,0)+1,2,,,"КВР")))</f>
        <v>Закупка товаров, работ и услуг для обеспечения государственных (муниципальных) нужд</v>
      </c>
      <c r="B42" s="26">
        <v>801</v>
      </c>
      <c r="C42" s="65" t="s">
        <v>70</v>
      </c>
      <c r="D42" s="65" t="s">
        <v>78</v>
      </c>
      <c r="E42" s="26" t="s">
        <v>525</v>
      </c>
      <c r="F42" s="26">
        <v>200</v>
      </c>
      <c r="G42" s="66">
        <f t="shared" si="7"/>
        <v>186</v>
      </c>
      <c r="H42" s="66">
        <f t="shared" si="7"/>
        <v>0</v>
      </c>
      <c r="I42" s="67">
        <f t="shared" si="0"/>
        <v>186</v>
      </c>
      <c r="J42" s="66">
        <f t="shared" si="7"/>
        <v>0</v>
      </c>
      <c r="K42" s="67">
        <f t="shared" si="1"/>
        <v>186</v>
      </c>
      <c r="L42" s="66">
        <f t="shared" si="7"/>
        <v>0</v>
      </c>
      <c r="M42" s="67">
        <f t="shared" si="2"/>
        <v>186</v>
      </c>
      <c r="N42" s="66">
        <f t="shared" si="7"/>
        <v>0</v>
      </c>
      <c r="O42" s="67">
        <f t="shared" si="3"/>
        <v>186</v>
      </c>
    </row>
    <row r="43" spans="1:15" s="107" customFormat="1" ht="33" x14ac:dyDescent="0.2">
      <c r="A43" s="64" t="str">
        <f ca="1">IF(ISERROR(MATCH(F43,Код_КВР,0)),"",INDIRECT(ADDRESS(MATCH(F43,Код_КВР,0)+1,2,,,"КВР")))</f>
        <v>Иные закупки товаров, работ и услуг для обеспечения государственных (муниципальных) нужд</v>
      </c>
      <c r="B43" s="26">
        <v>801</v>
      </c>
      <c r="C43" s="65" t="s">
        <v>70</v>
      </c>
      <c r="D43" s="65" t="s">
        <v>78</v>
      </c>
      <c r="E43" s="26" t="s">
        <v>525</v>
      </c>
      <c r="F43" s="26">
        <v>240</v>
      </c>
      <c r="G43" s="66">
        <v>186</v>
      </c>
      <c r="H43" s="67"/>
      <c r="I43" s="67">
        <f t="shared" si="0"/>
        <v>186</v>
      </c>
      <c r="J43" s="66"/>
      <c r="K43" s="67">
        <f t="shared" si="1"/>
        <v>186</v>
      </c>
      <c r="L43" s="66"/>
      <c r="M43" s="67">
        <f t="shared" si="2"/>
        <v>186</v>
      </c>
      <c r="N43" s="66"/>
      <c r="O43" s="67">
        <f t="shared" si="3"/>
        <v>186</v>
      </c>
    </row>
    <row r="44" spans="1:15" s="107" customFormat="1" x14ac:dyDescent="0.2">
      <c r="A44" s="74" t="s">
        <v>91</v>
      </c>
      <c r="B44" s="26">
        <v>801</v>
      </c>
      <c r="C44" s="65" t="s">
        <v>70</v>
      </c>
      <c r="D44" s="65" t="s">
        <v>55</v>
      </c>
      <c r="E44" s="26"/>
      <c r="F44" s="26"/>
      <c r="G44" s="66">
        <f>G45+G59+G63+G71+G75+G103+G113+G128</f>
        <v>183550.50000000003</v>
      </c>
      <c r="H44" s="66">
        <f>H45+H59+H63+H71+H75+H103+H113+H128</f>
        <v>0</v>
      </c>
      <c r="I44" s="67">
        <f t="shared" si="0"/>
        <v>183550.50000000003</v>
      </c>
      <c r="J44" s="66">
        <f>J45+J59+J63+J71+J75+J103+J113+J128</f>
        <v>0</v>
      </c>
      <c r="K44" s="67">
        <f t="shared" si="1"/>
        <v>183550.50000000003</v>
      </c>
      <c r="L44" s="66">
        <f>L45+L59+L63+L71+L75+L103+L113+L128</f>
        <v>6943.2</v>
      </c>
      <c r="M44" s="67">
        <f t="shared" si="2"/>
        <v>190493.70000000004</v>
      </c>
      <c r="N44" s="66">
        <f>N45+N59+N63+N71+N75+N103+N113+N128</f>
        <v>0</v>
      </c>
      <c r="O44" s="67">
        <f t="shared" si="3"/>
        <v>190493.70000000004</v>
      </c>
    </row>
    <row r="45" spans="1:15" s="107" customFormat="1" x14ac:dyDescent="0.2">
      <c r="A45" s="64" t="str">
        <f ca="1">IF(ISERROR(MATCH(E45,Код_КЦСР,0)),"",INDIRECT(ADDRESS(MATCH(E45,Код_КЦСР,0)+1,2,,,"КЦСР")))</f>
        <v>Муниципальная программа «Развитие архивного дела» на 2013 – 2020 годы</v>
      </c>
      <c r="B45" s="26">
        <v>801</v>
      </c>
      <c r="C45" s="65" t="s">
        <v>70</v>
      </c>
      <c r="D45" s="65" t="s">
        <v>55</v>
      </c>
      <c r="E45" s="26" t="s">
        <v>281</v>
      </c>
      <c r="F45" s="26"/>
      <c r="G45" s="66">
        <f>G46</f>
        <v>15794.2</v>
      </c>
      <c r="H45" s="66">
        <f>H46</f>
        <v>0</v>
      </c>
      <c r="I45" s="67">
        <f t="shared" si="0"/>
        <v>15794.2</v>
      </c>
      <c r="J45" s="66">
        <f>J46</f>
        <v>0</v>
      </c>
      <c r="K45" s="67">
        <f t="shared" si="1"/>
        <v>15794.2</v>
      </c>
      <c r="L45" s="66">
        <f>L46</f>
        <v>0</v>
      </c>
      <c r="M45" s="67">
        <f t="shared" si="2"/>
        <v>15794.2</v>
      </c>
      <c r="N45" s="66">
        <f>N46</f>
        <v>0</v>
      </c>
      <c r="O45" s="67">
        <f t="shared" si="3"/>
        <v>15794.2</v>
      </c>
    </row>
    <row r="46" spans="1:15" s="107" customFormat="1" ht="33" x14ac:dyDescent="0.2">
      <c r="A46" s="64" t="str">
        <f ca="1">IF(ISERROR(MATCH(E46,Код_КЦСР,0)),"",INDIRECT(ADDRESS(MATCH(E46,Код_КЦСР,0)+1,2,,,"КЦСР")))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46" s="26">
        <v>801</v>
      </c>
      <c r="C46" s="65" t="s">
        <v>70</v>
      </c>
      <c r="D46" s="65" t="s">
        <v>55</v>
      </c>
      <c r="E46" s="26" t="s">
        <v>282</v>
      </c>
      <c r="F46" s="26"/>
      <c r="G46" s="66">
        <f>G47+G54</f>
        <v>15794.2</v>
      </c>
      <c r="H46" s="66">
        <f>H47+H54</f>
        <v>0</v>
      </c>
      <c r="I46" s="67">
        <f t="shared" si="0"/>
        <v>15794.2</v>
      </c>
      <c r="J46" s="66">
        <f>J47+J54</f>
        <v>0</v>
      </c>
      <c r="K46" s="67">
        <f t="shared" si="1"/>
        <v>15794.2</v>
      </c>
      <c r="L46" s="66">
        <f>L47+L54</f>
        <v>0</v>
      </c>
      <c r="M46" s="67">
        <f t="shared" si="2"/>
        <v>15794.2</v>
      </c>
      <c r="N46" s="66">
        <f>N47+N54</f>
        <v>0</v>
      </c>
      <c r="O46" s="67">
        <f t="shared" si="3"/>
        <v>15794.2</v>
      </c>
    </row>
    <row r="47" spans="1:15" s="107" customFormat="1" ht="49.5" x14ac:dyDescent="0.2">
      <c r="A47" s="64" t="str">
        <f ca="1">IF(ISERROR(MATCH(E47,Код_КЦСР,0)),"",INDIRECT(ADDRESS(MATCH(E47,Код_КЦСР,0)+1,2,,,"КЦСР")))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информации, за счет средств городского бюджета</v>
      </c>
      <c r="B47" s="26">
        <v>801</v>
      </c>
      <c r="C47" s="65" t="s">
        <v>70</v>
      </c>
      <c r="D47" s="65" t="s">
        <v>55</v>
      </c>
      <c r="E47" s="26" t="s">
        <v>283</v>
      </c>
      <c r="F47" s="26"/>
      <c r="G47" s="66">
        <f>G48+G50+G52</f>
        <v>13963.2</v>
      </c>
      <c r="H47" s="66">
        <f>H48+H50+H52</f>
        <v>0</v>
      </c>
      <c r="I47" s="67">
        <f t="shared" si="0"/>
        <v>13963.2</v>
      </c>
      <c r="J47" s="66">
        <f>J48+J50+J52</f>
        <v>0</v>
      </c>
      <c r="K47" s="67">
        <f t="shared" si="1"/>
        <v>13963.2</v>
      </c>
      <c r="L47" s="66">
        <f>L48+L50+L52</f>
        <v>0</v>
      </c>
      <c r="M47" s="67">
        <f t="shared" si="2"/>
        <v>13963.2</v>
      </c>
      <c r="N47" s="66">
        <f>N48+N50+N52</f>
        <v>0</v>
      </c>
      <c r="O47" s="67">
        <f t="shared" si="3"/>
        <v>13963.2</v>
      </c>
    </row>
    <row r="48" spans="1:15" s="107" customFormat="1" ht="49.5" x14ac:dyDescent="0.2">
      <c r="A48" s="64" t="str">
        <f t="shared" ref="A48:A53" ca="1" si="8">IF(ISERROR(MATCH(F48,Код_КВР,0)),"",INDIRECT(ADDRESS(MATCH(F48,Код_КВР,0)+1,2,,,"КВР")))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8" s="26">
        <v>801</v>
      </c>
      <c r="C48" s="65" t="s">
        <v>70</v>
      </c>
      <c r="D48" s="65" t="s">
        <v>55</v>
      </c>
      <c r="E48" s="26" t="s">
        <v>283</v>
      </c>
      <c r="F48" s="26">
        <v>100</v>
      </c>
      <c r="G48" s="66">
        <f>G49</f>
        <v>7646.7</v>
      </c>
      <c r="H48" s="66">
        <f>H49</f>
        <v>0</v>
      </c>
      <c r="I48" s="67">
        <f t="shared" si="0"/>
        <v>7646.7</v>
      </c>
      <c r="J48" s="66">
        <f>J49</f>
        <v>0</v>
      </c>
      <c r="K48" s="67">
        <f t="shared" si="1"/>
        <v>7646.7</v>
      </c>
      <c r="L48" s="66">
        <f>L49</f>
        <v>0</v>
      </c>
      <c r="M48" s="67">
        <f t="shared" si="2"/>
        <v>7646.7</v>
      </c>
      <c r="N48" s="66">
        <f>N49</f>
        <v>0</v>
      </c>
      <c r="O48" s="67">
        <f t="shared" si="3"/>
        <v>7646.7</v>
      </c>
    </row>
    <row r="49" spans="1:15" s="107" customFormat="1" x14ac:dyDescent="0.2">
      <c r="A49" s="64" t="str">
        <f t="shared" ca="1" si="8"/>
        <v>Расходы на выплаты персоналу казенных учреждений</v>
      </c>
      <c r="B49" s="26">
        <v>801</v>
      </c>
      <c r="C49" s="65" t="s">
        <v>70</v>
      </c>
      <c r="D49" s="65" t="s">
        <v>55</v>
      </c>
      <c r="E49" s="26" t="s">
        <v>283</v>
      </c>
      <c r="F49" s="26">
        <v>110</v>
      </c>
      <c r="G49" s="67">
        <f>5858.4+19+1769.3</f>
        <v>7646.7</v>
      </c>
      <c r="H49" s="67"/>
      <c r="I49" s="67">
        <f t="shared" si="0"/>
        <v>7646.7</v>
      </c>
      <c r="J49" s="67"/>
      <c r="K49" s="67">
        <f t="shared" si="1"/>
        <v>7646.7</v>
      </c>
      <c r="L49" s="67"/>
      <c r="M49" s="67">
        <f t="shared" si="2"/>
        <v>7646.7</v>
      </c>
      <c r="N49" s="67"/>
      <c r="O49" s="67">
        <f t="shared" si="3"/>
        <v>7646.7</v>
      </c>
    </row>
    <row r="50" spans="1:15" s="107" customFormat="1" ht="33" x14ac:dyDescent="0.2">
      <c r="A50" s="73" t="str">
        <f t="shared" ca="1" si="8"/>
        <v>Закупка товаров, работ и услуг для обеспечения государственных (муниципальных) нужд</v>
      </c>
      <c r="B50" s="26">
        <v>801</v>
      </c>
      <c r="C50" s="65" t="s">
        <v>70</v>
      </c>
      <c r="D50" s="65" t="s">
        <v>55</v>
      </c>
      <c r="E50" s="26" t="s">
        <v>283</v>
      </c>
      <c r="F50" s="26">
        <v>200</v>
      </c>
      <c r="G50" s="66">
        <f>G51</f>
        <v>4072.9</v>
      </c>
      <c r="H50" s="66">
        <f>H51</f>
        <v>0</v>
      </c>
      <c r="I50" s="67">
        <f t="shared" si="0"/>
        <v>4072.9</v>
      </c>
      <c r="J50" s="66">
        <f>J51</f>
        <v>0</v>
      </c>
      <c r="K50" s="67">
        <f t="shared" si="1"/>
        <v>4072.9</v>
      </c>
      <c r="L50" s="66">
        <f>L51</f>
        <v>0</v>
      </c>
      <c r="M50" s="67">
        <f t="shared" si="2"/>
        <v>4072.9</v>
      </c>
      <c r="N50" s="66">
        <f>N51</f>
        <v>0</v>
      </c>
      <c r="O50" s="67">
        <f t="shared" si="3"/>
        <v>4072.9</v>
      </c>
    </row>
    <row r="51" spans="1:15" s="107" customFormat="1" ht="33" x14ac:dyDescent="0.2">
      <c r="A51" s="64" t="str">
        <f t="shared" ca="1" si="8"/>
        <v>Иные закупки товаров, работ и услуг для обеспечения государственных (муниципальных) нужд</v>
      </c>
      <c r="B51" s="26">
        <v>801</v>
      </c>
      <c r="C51" s="65" t="s">
        <v>70</v>
      </c>
      <c r="D51" s="65" t="s">
        <v>55</v>
      </c>
      <c r="E51" s="26" t="s">
        <v>283</v>
      </c>
      <c r="F51" s="26">
        <v>240</v>
      </c>
      <c r="G51" s="67">
        <v>4072.9</v>
      </c>
      <c r="H51" s="67"/>
      <c r="I51" s="67">
        <f t="shared" si="0"/>
        <v>4072.9</v>
      </c>
      <c r="J51" s="67"/>
      <c r="K51" s="67">
        <f t="shared" si="1"/>
        <v>4072.9</v>
      </c>
      <c r="L51" s="67"/>
      <c r="M51" s="67">
        <f t="shared" si="2"/>
        <v>4072.9</v>
      </c>
      <c r="N51" s="67"/>
      <c r="O51" s="67">
        <f t="shared" si="3"/>
        <v>4072.9</v>
      </c>
    </row>
    <row r="52" spans="1:15" s="107" customFormat="1" x14ac:dyDescent="0.2">
      <c r="A52" s="64" t="str">
        <f t="shared" ca="1" si="8"/>
        <v>Иные бюджетные ассигнования</v>
      </c>
      <c r="B52" s="26">
        <v>801</v>
      </c>
      <c r="C52" s="65" t="s">
        <v>70</v>
      </c>
      <c r="D52" s="65" t="s">
        <v>55</v>
      </c>
      <c r="E52" s="26" t="s">
        <v>283</v>
      </c>
      <c r="F52" s="26">
        <v>800</v>
      </c>
      <c r="G52" s="66">
        <f>G53</f>
        <v>2243.6</v>
      </c>
      <c r="H52" s="66">
        <f>H53</f>
        <v>0</v>
      </c>
      <c r="I52" s="67">
        <f t="shared" si="0"/>
        <v>2243.6</v>
      </c>
      <c r="J52" s="66">
        <f>J53</f>
        <v>0</v>
      </c>
      <c r="K52" s="67">
        <f t="shared" si="1"/>
        <v>2243.6</v>
      </c>
      <c r="L52" s="66">
        <f>L53</f>
        <v>0</v>
      </c>
      <c r="M52" s="67">
        <f t="shared" si="2"/>
        <v>2243.6</v>
      </c>
      <c r="N52" s="66">
        <f>N53</f>
        <v>0</v>
      </c>
      <c r="O52" s="67">
        <f t="shared" si="3"/>
        <v>2243.6</v>
      </c>
    </row>
    <row r="53" spans="1:15" s="107" customFormat="1" x14ac:dyDescent="0.2">
      <c r="A53" s="64" t="str">
        <f t="shared" ca="1" si="8"/>
        <v>Уплата налогов, сборов и иных платежей</v>
      </c>
      <c r="B53" s="26">
        <v>801</v>
      </c>
      <c r="C53" s="65" t="s">
        <v>70</v>
      </c>
      <c r="D53" s="65" t="s">
        <v>55</v>
      </c>
      <c r="E53" s="26" t="s">
        <v>283</v>
      </c>
      <c r="F53" s="26">
        <v>850</v>
      </c>
      <c r="G53" s="66">
        <f>2241.6+2</f>
        <v>2243.6</v>
      </c>
      <c r="H53" s="67"/>
      <c r="I53" s="67">
        <f t="shared" si="0"/>
        <v>2243.6</v>
      </c>
      <c r="J53" s="66"/>
      <c r="K53" s="67">
        <f t="shared" si="1"/>
        <v>2243.6</v>
      </c>
      <c r="L53" s="66"/>
      <c r="M53" s="67">
        <f t="shared" si="2"/>
        <v>2243.6</v>
      </c>
      <c r="N53" s="66"/>
      <c r="O53" s="67">
        <f t="shared" si="3"/>
        <v>2243.6</v>
      </c>
    </row>
    <row r="54" spans="1:15" s="107" customFormat="1" ht="82.5" x14ac:dyDescent="0.2">
      <c r="A54" s="64" t="str">
        <f ca="1">IF(ISERROR(MATCH(E54,Код_КЦСР,0)),"",INDIRECT(ADDRESS(MATCH(E54,Код_КЦСР,0)+1,2,,,"КЦСР")))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дела», за счет средств областного бюджета</v>
      </c>
      <c r="B54" s="26">
        <v>801</v>
      </c>
      <c r="C54" s="65" t="s">
        <v>70</v>
      </c>
      <c r="D54" s="65" t="s">
        <v>55</v>
      </c>
      <c r="E54" s="26" t="s">
        <v>284</v>
      </c>
      <c r="F54" s="26"/>
      <c r="G54" s="66">
        <f>G55+G57</f>
        <v>1831</v>
      </c>
      <c r="H54" s="66">
        <f>H55+H57</f>
        <v>0</v>
      </c>
      <c r="I54" s="67">
        <f t="shared" si="0"/>
        <v>1831</v>
      </c>
      <c r="J54" s="66">
        <f>J55+J57</f>
        <v>0</v>
      </c>
      <c r="K54" s="67">
        <f t="shared" si="1"/>
        <v>1831</v>
      </c>
      <c r="L54" s="66">
        <f>L55+L57</f>
        <v>0</v>
      </c>
      <c r="M54" s="67">
        <f t="shared" si="2"/>
        <v>1831</v>
      </c>
      <c r="N54" s="66">
        <f>N55+N57</f>
        <v>0</v>
      </c>
      <c r="O54" s="67">
        <f t="shared" si="3"/>
        <v>1831</v>
      </c>
    </row>
    <row r="55" spans="1:15" s="107" customFormat="1" ht="49.5" x14ac:dyDescent="0.2">
      <c r="A55" s="64" t="str">
        <f ca="1">IF(ISERROR(MATCH(F55,Код_КВР,0)),"",INDIRECT(ADDRESS(MATCH(F55,Код_КВР,0)+1,2,,,"КВР")))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" s="26">
        <v>801</v>
      </c>
      <c r="C55" s="65" t="s">
        <v>70</v>
      </c>
      <c r="D55" s="65" t="s">
        <v>55</v>
      </c>
      <c r="E55" s="26" t="s">
        <v>284</v>
      </c>
      <c r="F55" s="26">
        <v>100</v>
      </c>
      <c r="G55" s="66">
        <f>G56</f>
        <v>631</v>
      </c>
      <c r="H55" s="66">
        <f>H56</f>
        <v>0</v>
      </c>
      <c r="I55" s="67">
        <f t="shared" si="0"/>
        <v>631</v>
      </c>
      <c r="J55" s="66">
        <f>J56</f>
        <v>0</v>
      </c>
      <c r="K55" s="67">
        <f t="shared" si="1"/>
        <v>631</v>
      </c>
      <c r="L55" s="66">
        <f>L56</f>
        <v>0</v>
      </c>
      <c r="M55" s="67">
        <f t="shared" si="2"/>
        <v>631</v>
      </c>
      <c r="N55" s="66">
        <f>N56</f>
        <v>0</v>
      </c>
      <c r="O55" s="67">
        <f t="shared" si="3"/>
        <v>631</v>
      </c>
    </row>
    <row r="56" spans="1:15" s="107" customFormat="1" x14ac:dyDescent="0.2">
      <c r="A56" s="64" t="str">
        <f ca="1">IF(ISERROR(MATCH(F56,Код_КВР,0)),"",INDIRECT(ADDRESS(MATCH(F56,Код_КВР,0)+1,2,,,"КВР")))</f>
        <v>Расходы на выплаты персоналу казенных учреждений</v>
      </c>
      <c r="B56" s="26">
        <v>801</v>
      </c>
      <c r="C56" s="65" t="s">
        <v>70</v>
      </c>
      <c r="D56" s="65" t="s">
        <v>55</v>
      </c>
      <c r="E56" s="26" t="s">
        <v>284</v>
      </c>
      <c r="F56" s="26">
        <v>110</v>
      </c>
      <c r="G56" s="66">
        <f>485+146</f>
        <v>631</v>
      </c>
      <c r="H56" s="67"/>
      <c r="I56" s="67">
        <f t="shared" si="0"/>
        <v>631</v>
      </c>
      <c r="J56" s="66"/>
      <c r="K56" s="67">
        <f t="shared" si="1"/>
        <v>631</v>
      </c>
      <c r="L56" s="66"/>
      <c r="M56" s="67">
        <f t="shared" si="2"/>
        <v>631</v>
      </c>
      <c r="N56" s="66"/>
      <c r="O56" s="67">
        <f t="shared" si="3"/>
        <v>631</v>
      </c>
    </row>
    <row r="57" spans="1:15" s="107" customFormat="1" ht="33" x14ac:dyDescent="0.2">
      <c r="A57" s="64" t="str">
        <f ca="1">IF(ISERROR(MATCH(F57,Код_КВР,0)),"",INDIRECT(ADDRESS(MATCH(F57,Код_КВР,0)+1,2,,,"КВР")))</f>
        <v>Закупка товаров, работ и услуг для обеспечения государственных (муниципальных) нужд</v>
      </c>
      <c r="B57" s="26">
        <v>801</v>
      </c>
      <c r="C57" s="65" t="s">
        <v>70</v>
      </c>
      <c r="D57" s="65" t="s">
        <v>55</v>
      </c>
      <c r="E57" s="26" t="s">
        <v>284</v>
      </c>
      <c r="F57" s="26">
        <v>200</v>
      </c>
      <c r="G57" s="66">
        <f>G58</f>
        <v>1200</v>
      </c>
      <c r="H57" s="66">
        <f>H58</f>
        <v>0</v>
      </c>
      <c r="I57" s="67">
        <f t="shared" si="0"/>
        <v>1200</v>
      </c>
      <c r="J57" s="66">
        <f>J58</f>
        <v>0</v>
      </c>
      <c r="K57" s="67">
        <f t="shared" si="1"/>
        <v>1200</v>
      </c>
      <c r="L57" s="66">
        <f>L58</f>
        <v>0</v>
      </c>
      <c r="M57" s="67">
        <f t="shared" si="2"/>
        <v>1200</v>
      </c>
      <c r="N57" s="66">
        <f>N58</f>
        <v>0</v>
      </c>
      <c r="O57" s="67">
        <f t="shared" si="3"/>
        <v>1200</v>
      </c>
    </row>
    <row r="58" spans="1:15" s="107" customFormat="1" ht="33" x14ac:dyDescent="0.2">
      <c r="A58" s="64" t="str">
        <f ca="1">IF(ISERROR(MATCH(F58,Код_КВР,0)),"",INDIRECT(ADDRESS(MATCH(F58,Код_КВР,0)+1,2,,,"КВР")))</f>
        <v>Иные закупки товаров, работ и услуг для обеспечения государственных (муниципальных) нужд</v>
      </c>
      <c r="B58" s="26">
        <v>801</v>
      </c>
      <c r="C58" s="65" t="s">
        <v>70</v>
      </c>
      <c r="D58" s="65" t="s">
        <v>55</v>
      </c>
      <c r="E58" s="26" t="s">
        <v>284</v>
      </c>
      <c r="F58" s="26">
        <v>240</v>
      </c>
      <c r="G58" s="66">
        <v>1200</v>
      </c>
      <c r="H58" s="67"/>
      <c r="I58" s="67">
        <f t="shared" si="0"/>
        <v>1200</v>
      </c>
      <c r="J58" s="66"/>
      <c r="K58" s="67">
        <f t="shared" si="1"/>
        <v>1200</v>
      </c>
      <c r="L58" s="66"/>
      <c r="M58" s="67">
        <f t="shared" si="2"/>
        <v>1200</v>
      </c>
      <c r="N58" s="66"/>
      <c r="O58" s="67">
        <f t="shared" si="3"/>
        <v>1200</v>
      </c>
    </row>
    <row r="59" spans="1:15" s="107" customFormat="1" ht="33" x14ac:dyDescent="0.2">
      <c r="A59" s="64" t="str">
        <f ca="1">IF(ISERROR(MATCH(E59,Код_КЦСР,0)),"",INDIRECT(ADDRESS(MATCH(E59,Код_КЦСР,0)+1,2,,,"КЦСР")))</f>
        <v>Муниципальная программа «Содействие развитию потребительского рынка в городе Череповце на 2013 – 2020 годы»</v>
      </c>
      <c r="B59" s="26">
        <v>801</v>
      </c>
      <c r="C59" s="65" t="s">
        <v>70</v>
      </c>
      <c r="D59" s="65" t="s">
        <v>55</v>
      </c>
      <c r="E59" s="26" t="s">
        <v>289</v>
      </c>
      <c r="F59" s="26"/>
      <c r="G59" s="66">
        <f t="shared" ref="G59:N61" si="9">G60</f>
        <v>135</v>
      </c>
      <c r="H59" s="66">
        <f t="shared" si="9"/>
        <v>0</v>
      </c>
      <c r="I59" s="67">
        <f t="shared" si="0"/>
        <v>135</v>
      </c>
      <c r="J59" s="66">
        <f t="shared" si="9"/>
        <v>0</v>
      </c>
      <c r="K59" s="67">
        <f t="shared" si="1"/>
        <v>135</v>
      </c>
      <c r="L59" s="66">
        <f t="shared" si="9"/>
        <v>0</v>
      </c>
      <c r="M59" s="67">
        <f t="shared" si="2"/>
        <v>135</v>
      </c>
      <c r="N59" s="66">
        <f t="shared" si="9"/>
        <v>0</v>
      </c>
      <c r="O59" s="67">
        <f t="shared" si="3"/>
        <v>135</v>
      </c>
    </row>
    <row r="60" spans="1:15" s="107" customFormat="1" ht="49.5" x14ac:dyDescent="0.2">
      <c r="A60" s="64" t="str">
        <f ca="1">IF(ISERROR(MATCH(E60,Код_КЦСР,0)),"",INDIRECT(ADDRESS(MATCH(E60,Код_КЦСР,0)+1,2,,,"КЦСР")))</f>
        <v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v>
      </c>
      <c r="B60" s="26">
        <v>801</v>
      </c>
      <c r="C60" s="65" t="s">
        <v>70</v>
      </c>
      <c r="D60" s="65" t="s">
        <v>55</v>
      </c>
      <c r="E60" s="26" t="s">
        <v>290</v>
      </c>
      <c r="F60" s="26"/>
      <c r="G60" s="66">
        <f t="shared" si="9"/>
        <v>135</v>
      </c>
      <c r="H60" s="66">
        <f t="shared" si="9"/>
        <v>0</v>
      </c>
      <c r="I60" s="67">
        <f t="shared" si="0"/>
        <v>135</v>
      </c>
      <c r="J60" s="66">
        <f t="shared" si="9"/>
        <v>0</v>
      </c>
      <c r="K60" s="67">
        <f t="shared" si="1"/>
        <v>135</v>
      </c>
      <c r="L60" s="66">
        <f t="shared" si="9"/>
        <v>0</v>
      </c>
      <c r="M60" s="67">
        <f t="shared" si="2"/>
        <v>135</v>
      </c>
      <c r="N60" s="66">
        <f t="shared" si="9"/>
        <v>0</v>
      </c>
      <c r="O60" s="67">
        <f t="shared" si="3"/>
        <v>135</v>
      </c>
    </row>
    <row r="61" spans="1:15" s="107" customFormat="1" ht="33" x14ac:dyDescent="0.2">
      <c r="A61" s="73" t="str">
        <f ca="1">IF(ISERROR(MATCH(F61,Код_КВР,0)),"",INDIRECT(ADDRESS(MATCH(F61,Код_КВР,0)+1,2,,,"КВР")))</f>
        <v>Закупка товаров, работ и услуг для обеспечения государственных (муниципальных) нужд</v>
      </c>
      <c r="B61" s="26">
        <v>801</v>
      </c>
      <c r="C61" s="65" t="s">
        <v>70</v>
      </c>
      <c r="D61" s="65" t="s">
        <v>55</v>
      </c>
      <c r="E61" s="26" t="s">
        <v>290</v>
      </c>
      <c r="F61" s="26">
        <v>200</v>
      </c>
      <c r="G61" s="66">
        <f t="shared" si="9"/>
        <v>135</v>
      </c>
      <c r="H61" s="66">
        <f t="shared" si="9"/>
        <v>0</v>
      </c>
      <c r="I61" s="67">
        <f t="shared" si="0"/>
        <v>135</v>
      </c>
      <c r="J61" s="66">
        <f t="shared" si="9"/>
        <v>0</v>
      </c>
      <c r="K61" s="67">
        <f t="shared" si="1"/>
        <v>135</v>
      </c>
      <c r="L61" s="66">
        <f t="shared" si="9"/>
        <v>0</v>
      </c>
      <c r="M61" s="67">
        <f t="shared" si="2"/>
        <v>135</v>
      </c>
      <c r="N61" s="66">
        <f t="shared" si="9"/>
        <v>0</v>
      </c>
      <c r="O61" s="67">
        <f t="shared" si="3"/>
        <v>135</v>
      </c>
    </row>
    <row r="62" spans="1:15" s="107" customFormat="1" ht="33" x14ac:dyDescent="0.2">
      <c r="A62" s="64" t="str">
        <f ca="1">IF(ISERROR(MATCH(F62,Код_КВР,0)),"",INDIRECT(ADDRESS(MATCH(F62,Код_КВР,0)+1,2,,,"КВР")))</f>
        <v>Иные закупки товаров, работ и услуг для обеспечения государственных (муниципальных) нужд</v>
      </c>
      <c r="B62" s="26">
        <v>801</v>
      </c>
      <c r="C62" s="65" t="s">
        <v>70</v>
      </c>
      <c r="D62" s="65" t="s">
        <v>55</v>
      </c>
      <c r="E62" s="26" t="s">
        <v>290</v>
      </c>
      <c r="F62" s="26">
        <v>240</v>
      </c>
      <c r="G62" s="66">
        <v>135</v>
      </c>
      <c r="H62" s="67"/>
      <c r="I62" s="67">
        <f t="shared" si="0"/>
        <v>135</v>
      </c>
      <c r="J62" s="66"/>
      <c r="K62" s="67">
        <f t="shared" si="1"/>
        <v>135</v>
      </c>
      <c r="L62" s="66"/>
      <c r="M62" s="67">
        <f t="shared" si="2"/>
        <v>135</v>
      </c>
      <c r="N62" s="66"/>
      <c r="O62" s="67">
        <f t="shared" si="3"/>
        <v>135</v>
      </c>
    </row>
    <row r="63" spans="1:15" s="107" customFormat="1" x14ac:dyDescent="0.2">
      <c r="A63" s="64" t="str">
        <f ca="1">IF(ISERROR(MATCH(E63,Код_КЦСР,0)),"",INDIRECT(ADDRESS(MATCH(E63,Код_КЦСР,0)+1,2,,,"КЦСР")))</f>
        <v>Муниципальная программа «Здоровый город» на 2014 – 2022 годы</v>
      </c>
      <c r="B63" s="26">
        <v>801</v>
      </c>
      <c r="C63" s="65" t="s">
        <v>70</v>
      </c>
      <c r="D63" s="65" t="s">
        <v>55</v>
      </c>
      <c r="E63" s="26" t="s">
        <v>303</v>
      </c>
      <c r="F63" s="26"/>
      <c r="G63" s="66">
        <f>G64+G68</f>
        <v>311</v>
      </c>
      <c r="H63" s="66">
        <f>H64+H68</f>
        <v>0</v>
      </c>
      <c r="I63" s="67">
        <f t="shared" si="0"/>
        <v>311</v>
      </c>
      <c r="J63" s="66">
        <f>J64+J68</f>
        <v>0</v>
      </c>
      <c r="K63" s="67">
        <f t="shared" si="1"/>
        <v>311</v>
      </c>
      <c r="L63" s="66">
        <f>L64+L68</f>
        <v>0</v>
      </c>
      <c r="M63" s="67">
        <f t="shared" si="2"/>
        <v>311</v>
      </c>
      <c r="N63" s="66">
        <f>N64+N68</f>
        <v>0</v>
      </c>
      <c r="O63" s="67">
        <f t="shared" si="3"/>
        <v>311</v>
      </c>
    </row>
    <row r="64" spans="1:15" s="107" customFormat="1" x14ac:dyDescent="0.2">
      <c r="A64" s="64" t="str">
        <f ca="1">IF(ISERROR(MATCH(E64,Код_КЦСР,0)),"",INDIRECT(ADDRESS(MATCH(E64,Код_КЦСР,0)+1,2,,,"КЦСР")))</f>
        <v>Организационно-методическое обеспечение программы</v>
      </c>
      <c r="B64" s="26">
        <v>801</v>
      </c>
      <c r="C64" s="65" t="s">
        <v>70</v>
      </c>
      <c r="D64" s="65" t="s">
        <v>55</v>
      </c>
      <c r="E64" s="26" t="s">
        <v>305</v>
      </c>
      <c r="F64" s="26"/>
      <c r="G64" s="66">
        <f>+G65</f>
        <v>102.89999999999999</v>
      </c>
      <c r="H64" s="66">
        <f>+H65</f>
        <v>0</v>
      </c>
      <c r="I64" s="67">
        <f t="shared" si="0"/>
        <v>102.89999999999999</v>
      </c>
      <c r="J64" s="66">
        <f>+J65</f>
        <v>0</v>
      </c>
      <c r="K64" s="67">
        <f t="shared" si="1"/>
        <v>102.89999999999999</v>
      </c>
      <c r="L64" s="66">
        <f>+L65</f>
        <v>0</v>
      </c>
      <c r="M64" s="67">
        <f t="shared" si="2"/>
        <v>102.89999999999999</v>
      </c>
      <c r="N64" s="66">
        <f>+N65</f>
        <v>0</v>
      </c>
      <c r="O64" s="67">
        <f t="shared" si="3"/>
        <v>102.89999999999999</v>
      </c>
    </row>
    <row r="65" spans="1:15" s="107" customFormat="1" x14ac:dyDescent="0.2">
      <c r="A65" s="64" t="str">
        <f ca="1">IF(ISERROR(MATCH(F65,Код_КВР,0)),"",INDIRECT(ADDRESS(MATCH(F65,Код_КВР,0)+1,2,,,"КВР")))</f>
        <v>Иные бюджетные ассигнования</v>
      </c>
      <c r="B65" s="26">
        <v>801</v>
      </c>
      <c r="C65" s="65" t="s">
        <v>70</v>
      </c>
      <c r="D65" s="65" t="s">
        <v>55</v>
      </c>
      <c r="E65" s="26" t="s">
        <v>305</v>
      </c>
      <c r="F65" s="26">
        <v>800</v>
      </c>
      <c r="G65" s="66">
        <f>G67+G66</f>
        <v>102.89999999999999</v>
      </c>
      <c r="H65" s="66">
        <f>H67+H66</f>
        <v>0</v>
      </c>
      <c r="I65" s="67">
        <f t="shared" si="0"/>
        <v>102.89999999999999</v>
      </c>
      <c r="J65" s="66">
        <f>J67+J66</f>
        <v>0</v>
      </c>
      <c r="K65" s="67">
        <f t="shared" si="1"/>
        <v>102.89999999999999</v>
      </c>
      <c r="L65" s="66">
        <f>L67+L66</f>
        <v>0</v>
      </c>
      <c r="M65" s="67">
        <f t="shared" si="2"/>
        <v>102.89999999999999</v>
      </c>
      <c r="N65" s="66">
        <f>N67+N66</f>
        <v>0</v>
      </c>
      <c r="O65" s="67">
        <f t="shared" si="3"/>
        <v>102.89999999999999</v>
      </c>
    </row>
    <row r="66" spans="1:15" s="107" customFormat="1" x14ac:dyDescent="0.2">
      <c r="A66" s="64" t="str">
        <f ca="1">IF(ISERROR(MATCH(F66,Код_КВР,0)),"",INDIRECT(ADDRESS(MATCH(F66,Код_КВР,0)+1,2,,,"КВР")))</f>
        <v>Уплата налогов, сборов и иных платежей</v>
      </c>
      <c r="B66" s="26">
        <v>801</v>
      </c>
      <c r="C66" s="65" t="s">
        <v>70</v>
      </c>
      <c r="D66" s="65" t="s">
        <v>55</v>
      </c>
      <c r="E66" s="26" t="s">
        <v>305</v>
      </c>
      <c r="F66" s="26">
        <v>850</v>
      </c>
      <c r="G66" s="66">
        <v>31.8</v>
      </c>
      <c r="H66" s="67"/>
      <c r="I66" s="67">
        <f t="shared" si="0"/>
        <v>31.8</v>
      </c>
      <c r="J66" s="66"/>
      <c r="K66" s="67">
        <f t="shared" si="1"/>
        <v>31.8</v>
      </c>
      <c r="L66" s="66"/>
      <c r="M66" s="67">
        <f t="shared" si="2"/>
        <v>31.8</v>
      </c>
      <c r="N66" s="66"/>
      <c r="O66" s="67">
        <f t="shared" si="3"/>
        <v>31.8</v>
      </c>
    </row>
    <row r="67" spans="1:15" s="107" customFormat="1" ht="33" x14ac:dyDescent="0.2">
      <c r="A67" s="64" t="str">
        <f ca="1">IF(ISERROR(MATCH(F67,Код_КВР,0)),"",INDIRECT(ADDRESS(MATCH(F67,Код_КВР,0)+1,2,,,"КВР")))</f>
        <v>Предоставление платежей, взносов, безвозмездных перечислений субъектам международного права</v>
      </c>
      <c r="B67" s="26">
        <v>801</v>
      </c>
      <c r="C67" s="65" t="s">
        <v>70</v>
      </c>
      <c r="D67" s="65" t="s">
        <v>55</v>
      </c>
      <c r="E67" s="26" t="s">
        <v>305</v>
      </c>
      <c r="F67" s="26">
        <v>860</v>
      </c>
      <c r="G67" s="66">
        <v>71.099999999999994</v>
      </c>
      <c r="H67" s="67"/>
      <c r="I67" s="67">
        <f t="shared" si="0"/>
        <v>71.099999999999994</v>
      </c>
      <c r="J67" s="66"/>
      <c r="K67" s="67">
        <f t="shared" si="1"/>
        <v>71.099999999999994</v>
      </c>
      <c r="L67" s="66"/>
      <c r="M67" s="67">
        <f t="shared" si="2"/>
        <v>71.099999999999994</v>
      </c>
      <c r="N67" s="66"/>
      <c r="O67" s="67">
        <f t="shared" si="3"/>
        <v>71.099999999999994</v>
      </c>
    </row>
    <row r="68" spans="1:15" s="107" customFormat="1" x14ac:dyDescent="0.2">
      <c r="A68" s="64" t="str">
        <f ca="1">IF(ISERROR(MATCH(E68,Код_КЦСР,0)),"",INDIRECT(ADDRESS(MATCH(E68,Код_КЦСР,0)+1,2,,,"КЦСР")))</f>
        <v>Пропаганда здорового образа жизни</v>
      </c>
      <c r="B68" s="26">
        <v>801</v>
      </c>
      <c r="C68" s="65" t="s">
        <v>70</v>
      </c>
      <c r="D68" s="65" t="s">
        <v>55</v>
      </c>
      <c r="E68" s="26" t="s">
        <v>306</v>
      </c>
      <c r="F68" s="26"/>
      <c r="G68" s="66">
        <f t="shared" ref="G68:N69" si="10">G69</f>
        <v>208.1</v>
      </c>
      <c r="H68" s="66">
        <f t="shared" si="10"/>
        <v>0</v>
      </c>
      <c r="I68" s="67">
        <f t="shared" si="0"/>
        <v>208.1</v>
      </c>
      <c r="J68" s="66">
        <f t="shared" si="10"/>
        <v>0</v>
      </c>
      <c r="K68" s="67">
        <f t="shared" si="1"/>
        <v>208.1</v>
      </c>
      <c r="L68" s="66">
        <f t="shared" si="10"/>
        <v>0</v>
      </c>
      <c r="M68" s="67">
        <f t="shared" si="2"/>
        <v>208.1</v>
      </c>
      <c r="N68" s="66">
        <f t="shared" si="10"/>
        <v>0</v>
      </c>
      <c r="O68" s="67">
        <f t="shared" si="3"/>
        <v>208.1</v>
      </c>
    </row>
    <row r="69" spans="1:15" s="107" customFormat="1" ht="33" x14ac:dyDescent="0.2">
      <c r="A69" s="73" t="str">
        <f ca="1">IF(ISERROR(MATCH(F69,Код_КВР,0)),"",INDIRECT(ADDRESS(MATCH(F69,Код_КВР,0)+1,2,,,"КВР")))</f>
        <v>Закупка товаров, работ и услуг для обеспечения государственных (муниципальных) нужд</v>
      </c>
      <c r="B69" s="26">
        <v>801</v>
      </c>
      <c r="C69" s="65" t="s">
        <v>70</v>
      </c>
      <c r="D69" s="65" t="s">
        <v>55</v>
      </c>
      <c r="E69" s="26" t="s">
        <v>306</v>
      </c>
      <c r="F69" s="26">
        <v>200</v>
      </c>
      <c r="G69" s="66">
        <f t="shared" si="10"/>
        <v>208.1</v>
      </c>
      <c r="H69" s="66">
        <f t="shared" si="10"/>
        <v>0</v>
      </c>
      <c r="I69" s="67">
        <f t="shared" si="0"/>
        <v>208.1</v>
      </c>
      <c r="J69" s="66">
        <f t="shared" si="10"/>
        <v>0</v>
      </c>
      <c r="K69" s="67">
        <f t="shared" si="1"/>
        <v>208.1</v>
      </c>
      <c r="L69" s="66">
        <f t="shared" si="10"/>
        <v>0</v>
      </c>
      <c r="M69" s="67">
        <f t="shared" si="2"/>
        <v>208.1</v>
      </c>
      <c r="N69" s="66">
        <f t="shared" si="10"/>
        <v>0</v>
      </c>
      <c r="O69" s="67">
        <f t="shared" si="3"/>
        <v>208.1</v>
      </c>
    </row>
    <row r="70" spans="1:15" s="107" customFormat="1" ht="33" x14ac:dyDescent="0.2">
      <c r="A70" s="64" t="str">
        <f ca="1">IF(ISERROR(MATCH(F70,Код_КВР,0)),"",INDIRECT(ADDRESS(MATCH(F70,Код_КВР,0)+1,2,,,"КВР")))</f>
        <v>Иные закупки товаров, работ и услуг для обеспечения государственных (муниципальных) нужд</v>
      </c>
      <c r="B70" s="26">
        <v>801</v>
      </c>
      <c r="C70" s="65" t="s">
        <v>70</v>
      </c>
      <c r="D70" s="65" t="s">
        <v>55</v>
      </c>
      <c r="E70" s="26" t="s">
        <v>306</v>
      </c>
      <c r="F70" s="26">
        <v>240</v>
      </c>
      <c r="G70" s="66">
        <v>208.1</v>
      </c>
      <c r="H70" s="67"/>
      <c r="I70" s="67">
        <f t="shared" si="0"/>
        <v>208.1</v>
      </c>
      <c r="J70" s="66"/>
      <c r="K70" s="67">
        <f t="shared" si="1"/>
        <v>208.1</v>
      </c>
      <c r="L70" s="66"/>
      <c r="M70" s="67">
        <f t="shared" si="2"/>
        <v>208.1</v>
      </c>
      <c r="N70" s="66"/>
      <c r="O70" s="67">
        <f t="shared" si="3"/>
        <v>208.1</v>
      </c>
    </row>
    <row r="71" spans="1:15" s="107" customFormat="1" ht="33" x14ac:dyDescent="0.2">
      <c r="A71" s="64" t="str">
        <f ca="1">IF(ISERROR(MATCH(E71,Код_КЦСР,0)),"",INDIRECT(ADDRESS(MATCH(E71,Код_КЦСР,0)+1,2,,,"КЦСР")))</f>
        <v>Муниципальная программа «Развитие земельно-имущественного комплекса города Череповца» на 2014 – 2022 годы</v>
      </c>
      <c r="B71" s="26">
        <v>801</v>
      </c>
      <c r="C71" s="65" t="s">
        <v>70</v>
      </c>
      <c r="D71" s="65" t="s">
        <v>55</v>
      </c>
      <c r="E71" s="26" t="s">
        <v>356</v>
      </c>
      <c r="F71" s="26"/>
      <c r="G71" s="66">
        <f t="shared" ref="G71:N73" si="11">G72</f>
        <v>5679.9</v>
      </c>
      <c r="H71" s="66">
        <f t="shared" si="11"/>
        <v>0</v>
      </c>
      <c r="I71" s="67">
        <f t="shared" si="0"/>
        <v>5679.9</v>
      </c>
      <c r="J71" s="66">
        <f t="shared" si="11"/>
        <v>0</v>
      </c>
      <c r="K71" s="67">
        <f t="shared" si="1"/>
        <v>5679.9</v>
      </c>
      <c r="L71" s="66">
        <f t="shared" si="11"/>
        <v>0</v>
      </c>
      <c r="M71" s="67">
        <f t="shared" si="2"/>
        <v>5679.9</v>
      </c>
      <c r="N71" s="66">
        <f t="shared" si="11"/>
        <v>0</v>
      </c>
      <c r="O71" s="67">
        <f t="shared" si="3"/>
        <v>5679.9</v>
      </c>
    </row>
    <row r="72" spans="1:15" s="107" customFormat="1" ht="33" x14ac:dyDescent="0.2">
      <c r="A72" s="64" t="str">
        <f ca="1">IF(ISERROR(MATCH(E72,Код_КЦСР,0)),"",INDIRECT(ADDRESS(MATCH(E72,Код_КЦСР,0)+1,2,,,"КЦСР")))</f>
        <v>Формирование и обеспечение сохранности муниципального земельно-имущественного комплекса</v>
      </c>
      <c r="B72" s="26">
        <v>801</v>
      </c>
      <c r="C72" s="65" t="s">
        <v>70</v>
      </c>
      <c r="D72" s="65" t="s">
        <v>55</v>
      </c>
      <c r="E72" s="26" t="s">
        <v>357</v>
      </c>
      <c r="F72" s="26"/>
      <c r="G72" s="66">
        <f t="shared" si="11"/>
        <v>5679.9</v>
      </c>
      <c r="H72" s="66">
        <f t="shared" si="11"/>
        <v>0</v>
      </c>
      <c r="I72" s="67">
        <f t="shared" si="0"/>
        <v>5679.9</v>
      </c>
      <c r="J72" s="66">
        <f t="shared" si="11"/>
        <v>0</v>
      </c>
      <c r="K72" s="67">
        <f t="shared" si="1"/>
        <v>5679.9</v>
      </c>
      <c r="L72" s="66">
        <f t="shared" si="11"/>
        <v>0</v>
      </c>
      <c r="M72" s="67">
        <f t="shared" si="2"/>
        <v>5679.9</v>
      </c>
      <c r="N72" s="66">
        <f t="shared" si="11"/>
        <v>0</v>
      </c>
      <c r="O72" s="67">
        <f t="shared" si="3"/>
        <v>5679.9</v>
      </c>
    </row>
    <row r="73" spans="1:15" s="107" customFormat="1" ht="33" x14ac:dyDescent="0.2">
      <c r="A73" s="73" t="str">
        <f ca="1">IF(ISERROR(MATCH(F73,Код_КВР,0)),"",INDIRECT(ADDRESS(MATCH(F73,Код_КВР,0)+1,2,,,"КВР")))</f>
        <v>Закупка товаров, работ и услуг для обеспечения государственных (муниципальных) нужд</v>
      </c>
      <c r="B73" s="26">
        <v>801</v>
      </c>
      <c r="C73" s="65" t="s">
        <v>70</v>
      </c>
      <c r="D73" s="65" t="s">
        <v>55</v>
      </c>
      <c r="E73" s="26" t="s">
        <v>357</v>
      </c>
      <c r="F73" s="26">
        <v>200</v>
      </c>
      <c r="G73" s="66">
        <f t="shared" si="11"/>
        <v>5679.9</v>
      </c>
      <c r="H73" s="66">
        <f t="shared" si="11"/>
        <v>0</v>
      </c>
      <c r="I73" s="67">
        <f t="shared" si="0"/>
        <v>5679.9</v>
      </c>
      <c r="J73" s="66">
        <f t="shared" si="11"/>
        <v>0</v>
      </c>
      <c r="K73" s="67">
        <f t="shared" si="1"/>
        <v>5679.9</v>
      </c>
      <c r="L73" s="66">
        <f t="shared" si="11"/>
        <v>0</v>
      </c>
      <c r="M73" s="67">
        <f t="shared" si="2"/>
        <v>5679.9</v>
      </c>
      <c r="N73" s="66">
        <f t="shared" si="11"/>
        <v>0</v>
      </c>
      <c r="O73" s="67">
        <f t="shared" si="3"/>
        <v>5679.9</v>
      </c>
    </row>
    <row r="74" spans="1:15" s="107" customFormat="1" ht="33" x14ac:dyDescent="0.2">
      <c r="A74" s="64" t="str">
        <f ca="1">IF(ISERROR(MATCH(F74,Код_КВР,0)),"",INDIRECT(ADDRESS(MATCH(F74,Код_КВР,0)+1,2,,,"КВР")))</f>
        <v>Иные закупки товаров, работ и услуг для обеспечения государственных (муниципальных) нужд</v>
      </c>
      <c r="B74" s="26">
        <v>801</v>
      </c>
      <c r="C74" s="65" t="s">
        <v>70</v>
      </c>
      <c r="D74" s="65" t="s">
        <v>55</v>
      </c>
      <c r="E74" s="26" t="s">
        <v>357</v>
      </c>
      <c r="F74" s="26">
        <v>240</v>
      </c>
      <c r="G74" s="66">
        <v>5679.9</v>
      </c>
      <c r="H74" s="67"/>
      <c r="I74" s="67">
        <f t="shared" si="0"/>
        <v>5679.9</v>
      </c>
      <c r="J74" s="66"/>
      <c r="K74" s="67">
        <f t="shared" si="1"/>
        <v>5679.9</v>
      </c>
      <c r="L74" s="66"/>
      <c r="M74" s="67">
        <f t="shared" si="2"/>
        <v>5679.9</v>
      </c>
      <c r="N74" s="66"/>
      <c r="O74" s="67">
        <f t="shared" si="3"/>
        <v>5679.9</v>
      </c>
    </row>
    <row r="75" spans="1:15" s="107" customFormat="1" ht="33" x14ac:dyDescent="0.2">
      <c r="A75" s="64" t="str">
        <f ca="1">IF(ISERROR(MATCH(E75,Код_КЦСР,0)),"",INDIRECT(ADDRESS(MATCH(E75,Код_КЦСР,0)+1,2,,,"КЦСР")))</f>
        <v>Муниципальная программа «Совершенствование муниципального управления в городе Череповце» на 2014 – 2020 годы</v>
      </c>
      <c r="B75" s="26">
        <v>801</v>
      </c>
      <c r="C75" s="65" t="s">
        <v>70</v>
      </c>
      <c r="D75" s="65" t="s">
        <v>55</v>
      </c>
      <c r="E75" s="26" t="s">
        <v>381</v>
      </c>
      <c r="F75" s="26"/>
      <c r="G75" s="66">
        <f>G76+G84+G91+G95</f>
        <v>160413.5</v>
      </c>
      <c r="H75" s="66">
        <f>H76+H84+H91+H95</f>
        <v>0</v>
      </c>
      <c r="I75" s="67">
        <f t="shared" si="0"/>
        <v>160413.5</v>
      </c>
      <c r="J75" s="66">
        <f>J76+J84+J91+J95</f>
        <v>0</v>
      </c>
      <c r="K75" s="67">
        <f t="shared" si="1"/>
        <v>160413.5</v>
      </c>
      <c r="L75" s="66">
        <f>L76+L84+L91+L95</f>
        <v>-15</v>
      </c>
      <c r="M75" s="67">
        <f t="shared" si="2"/>
        <v>160398.5</v>
      </c>
      <c r="N75" s="66">
        <f>N76+N84+N91+N95</f>
        <v>-9.4</v>
      </c>
      <c r="O75" s="67">
        <f t="shared" si="3"/>
        <v>160389.1</v>
      </c>
    </row>
    <row r="76" spans="1:15" s="107" customFormat="1" ht="33" x14ac:dyDescent="0.2">
      <c r="A76" s="64" t="str">
        <f ca="1">IF(ISERROR(MATCH(E76,Код_КЦСР,0)),"",INDIRECT(ADDRESS(MATCH(E76,Код_КЦСР,0)+1,2,,,"КЦСР")))</f>
        <v>Создание условий для обеспечения выполнения органами муниципальной власти своих полномочий</v>
      </c>
      <c r="B76" s="26">
        <v>801</v>
      </c>
      <c r="C76" s="65" t="s">
        <v>70</v>
      </c>
      <c r="D76" s="65" t="s">
        <v>55</v>
      </c>
      <c r="E76" s="26" t="s">
        <v>382</v>
      </c>
      <c r="F76" s="26"/>
      <c r="G76" s="66">
        <f>G77</f>
        <v>90289.4</v>
      </c>
      <c r="H76" s="66">
        <f>H77</f>
        <v>0</v>
      </c>
      <c r="I76" s="67">
        <f t="shared" si="0"/>
        <v>90289.4</v>
      </c>
      <c r="J76" s="66">
        <f>J77</f>
        <v>0</v>
      </c>
      <c r="K76" s="67">
        <f t="shared" si="1"/>
        <v>90289.4</v>
      </c>
      <c r="L76" s="66">
        <f>L77</f>
        <v>-15</v>
      </c>
      <c r="M76" s="67">
        <f t="shared" si="2"/>
        <v>90274.4</v>
      </c>
      <c r="N76" s="66">
        <f>N77</f>
        <v>0</v>
      </c>
      <c r="O76" s="67">
        <f t="shared" si="3"/>
        <v>90274.4</v>
      </c>
    </row>
    <row r="77" spans="1:15" s="107" customFormat="1" ht="33" x14ac:dyDescent="0.2">
      <c r="A77" s="64" t="str">
        <f ca="1">IF(ISERROR(MATCH(E77,Код_КЦСР,0)),"",INDIRECT(ADDRESS(MATCH(E77,Код_КЦСР,0)+1,2,,,"КЦСР")))</f>
        <v>Материально-техническое обеспечение деятельности муниципальных служащих органов местного самоуправления</v>
      </c>
      <c r="B77" s="26">
        <v>801</v>
      </c>
      <c r="C77" s="65" t="s">
        <v>70</v>
      </c>
      <c r="D77" s="65" t="s">
        <v>55</v>
      </c>
      <c r="E77" s="26" t="s">
        <v>384</v>
      </c>
      <c r="F77" s="26"/>
      <c r="G77" s="66">
        <f>G78+G80+G82</f>
        <v>90289.4</v>
      </c>
      <c r="H77" s="66">
        <f>H78+H80+H82</f>
        <v>0</v>
      </c>
      <c r="I77" s="67">
        <f t="shared" si="0"/>
        <v>90289.4</v>
      </c>
      <c r="J77" s="66">
        <f>J78+J80+J82</f>
        <v>0</v>
      </c>
      <c r="K77" s="67">
        <f t="shared" si="1"/>
        <v>90289.4</v>
      </c>
      <c r="L77" s="66">
        <f>L78+L80+L82</f>
        <v>-15</v>
      </c>
      <c r="M77" s="67">
        <f t="shared" si="2"/>
        <v>90274.4</v>
      </c>
      <c r="N77" s="66">
        <f>N78+N80+N82</f>
        <v>0</v>
      </c>
      <c r="O77" s="67">
        <f t="shared" si="3"/>
        <v>90274.4</v>
      </c>
    </row>
    <row r="78" spans="1:15" s="107" customFormat="1" ht="49.5" x14ac:dyDescent="0.2">
      <c r="A78" s="64" t="str">
        <f t="shared" ref="A78:A83" ca="1" si="12">IF(ISERROR(MATCH(F78,Код_КВР,0)),"",INDIRECT(ADDRESS(MATCH(F78,Код_КВР,0)+1,2,,,"КВР")))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8" s="26">
        <v>801</v>
      </c>
      <c r="C78" s="65" t="s">
        <v>70</v>
      </c>
      <c r="D78" s="65" t="s">
        <v>55</v>
      </c>
      <c r="E78" s="26" t="s">
        <v>384</v>
      </c>
      <c r="F78" s="26">
        <v>100</v>
      </c>
      <c r="G78" s="66">
        <f>G79</f>
        <v>54246.9</v>
      </c>
      <c r="H78" s="66">
        <f>H79</f>
        <v>0</v>
      </c>
      <c r="I78" s="67">
        <f t="shared" si="0"/>
        <v>54246.9</v>
      </c>
      <c r="J78" s="66">
        <f>J79</f>
        <v>0</v>
      </c>
      <c r="K78" s="67">
        <f t="shared" si="1"/>
        <v>54246.9</v>
      </c>
      <c r="L78" s="66">
        <f>L79</f>
        <v>0</v>
      </c>
      <c r="M78" s="67">
        <f t="shared" si="2"/>
        <v>54246.9</v>
      </c>
      <c r="N78" s="66">
        <f>N79</f>
        <v>0</v>
      </c>
      <c r="O78" s="67">
        <f t="shared" si="3"/>
        <v>54246.9</v>
      </c>
    </row>
    <row r="79" spans="1:15" s="107" customFormat="1" x14ac:dyDescent="0.2">
      <c r="A79" s="64" t="str">
        <f t="shared" ca="1" si="12"/>
        <v>Расходы на выплаты персоналу казенных учреждений</v>
      </c>
      <c r="B79" s="26">
        <v>801</v>
      </c>
      <c r="C79" s="65" t="s">
        <v>70</v>
      </c>
      <c r="D79" s="65" t="s">
        <v>55</v>
      </c>
      <c r="E79" s="26" t="s">
        <v>384</v>
      </c>
      <c r="F79" s="26">
        <v>110</v>
      </c>
      <c r="G79" s="66">
        <f>41574+117.5+12555.4</f>
        <v>54246.9</v>
      </c>
      <c r="H79" s="67"/>
      <c r="I79" s="67">
        <f t="shared" si="0"/>
        <v>54246.9</v>
      </c>
      <c r="J79" s="66"/>
      <c r="K79" s="67">
        <f t="shared" si="1"/>
        <v>54246.9</v>
      </c>
      <c r="L79" s="66"/>
      <c r="M79" s="67">
        <f t="shared" si="2"/>
        <v>54246.9</v>
      </c>
      <c r="N79" s="66"/>
      <c r="O79" s="67">
        <f t="shared" si="3"/>
        <v>54246.9</v>
      </c>
    </row>
    <row r="80" spans="1:15" s="107" customFormat="1" ht="33" x14ac:dyDescent="0.2">
      <c r="A80" s="73" t="str">
        <f t="shared" ca="1" si="12"/>
        <v>Закупка товаров, работ и услуг для обеспечения государственных (муниципальных) нужд</v>
      </c>
      <c r="B80" s="26">
        <v>801</v>
      </c>
      <c r="C80" s="65" t="s">
        <v>70</v>
      </c>
      <c r="D80" s="65" t="s">
        <v>55</v>
      </c>
      <c r="E80" s="26" t="s">
        <v>384</v>
      </c>
      <c r="F80" s="26">
        <v>200</v>
      </c>
      <c r="G80" s="66">
        <f>G81</f>
        <v>33484</v>
      </c>
      <c r="H80" s="66">
        <f>H81</f>
        <v>0</v>
      </c>
      <c r="I80" s="67">
        <f t="shared" si="0"/>
        <v>33484</v>
      </c>
      <c r="J80" s="66">
        <f>J81</f>
        <v>0</v>
      </c>
      <c r="K80" s="67">
        <f t="shared" si="1"/>
        <v>33484</v>
      </c>
      <c r="L80" s="66">
        <f>L81</f>
        <v>-15</v>
      </c>
      <c r="M80" s="67">
        <f t="shared" si="2"/>
        <v>33469</v>
      </c>
      <c r="N80" s="66">
        <f>N81</f>
        <v>0</v>
      </c>
      <c r="O80" s="67">
        <f t="shared" si="3"/>
        <v>33469</v>
      </c>
    </row>
    <row r="81" spans="1:15" s="107" customFormat="1" ht="33" x14ac:dyDescent="0.2">
      <c r="A81" s="64" t="str">
        <f t="shared" ca="1" si="12"/>
        <v>Иные закупки товаров, работ и услуг для обеспечения государственных (муниципальных) нужд</v>
      </c>
      <c r="B81" s="26">
        <v>801</v>
      </c>
      <c r="C81" s="65" t="s">
        <v>70</v>
      </c>
      <c r="D81" s="65" t="s">
        <v>55</v>
      </c>
      <c r="E81" s="26" t="s">
        <v>384</v>
      </c>
      <c r="F81" s="26">
        <v>240</v>
      </c>
      <c r="G81" s="66">
        <v>33484</v>
      </c>
      <c r="H81" s="67"/>
      <c r="I81" s="67">
        <f t="shared" si="0"/>
        <v>33484</v>
      </c>
      <c r="J81" s="66"/>
      <c r="K81" s="67">
        <f t="shared" si="1"/>
        <v>33484</v>
      </c>
      <c r="L81" s="66">
        <v>-15</v>
      </c>
      <c r="M81" s="67">
        <f t="shared" si="2"/>
        <v>33469</v>
      </c>
      <c r="N81" s="66"/>
      <c r="O81" s="67">
        <f t="shared" si="3"/>
        <v>33469</v>
      </c>
    </row>
    <row r="82" spans="1:15" s="107" customFormat="1" x14ac:dyDescent="0.2">
      <c r="A82" s="64" t="str">
        <f t="shared" ca="1" si="12"/>
        <v>Иные бюджетные ассигнования</v>
      </c>
      <c r="B82" s="26">
        <v>801</v>
      </c>
      <c r="C82" s="65" t="s">
        <v>70</v>
      </c>
      <c r="D82" s="65" t="s">
        <v>55</v>
      </c>
      <c r="E82" s="26" t="s">
        <v>384</v>
      </c>
      <c r="F82" s="26">
        <v>800</v>
      </c>
      <c r="G82" s="66">
        <f>G83</f>
        <v>2558.5</v>
      </c>
      <c r="H82" s="66">
        <f>H83</f>
        <v>0</v>
      </c>
      <c r="I82" s="67">
        <f t="shared" si="0"/>
        <v>2558.5</v>
      </c>
      <c r="J82" s="66">
        <f>J83</f>
        <v>0</v>
      </c>
      <c r="K82" s="67">
        <f t="shared" si="1"/>
        <v>2558.5</v>
      </c>
      <c r="L82" s="66">
        <f>L83</f>
        <v>0</v>
      </c>
      <c r="M82" s="67">
        <f t="shared" si="2"/>
        <v>2558.5</v>
      </c>
      <c r="N82" s="66">
        <f>N83</f>
        <v>0</v>
      </c>
      <c r="O82" s="67">
        <f t="shared" si="3"/>
        <v>2558.5</v>
      </c>
    </row>
    <row r="83" spans="1:15" s="107" customFormat="1" x14ac:dyDescent="0.2">
      <c r="A83" s="64" t="str">
        <f t="shared" ca="1" si="12"/>
        <v>Уплата налогов, сборов и иных платежей</v>
      </c>
      <c r="B83" s="26">
        <v>801</v>
      </c>
      <c r="C83" s="65" t="s">
        <v>70</v>
      </c>
      <c r="D83" s="65" t="s">
        <v>55</v>
      </c>
      <c r="E83" s="26" t="s">
        <v>384</v>
      </c>
      <c r="F83" s="26">
        <v>850</v>
      </c>
      <c r="G83" s="66">
        <f>2315.3+201.7+41.5</f>
        <v>2558.5</v>
      </c>
      <c r="H83" s="67"/>
      <c r="I83" s="67">
        <f t="shared" ref="I83:I154" si="13">G83+H83</f>
        <v>2558.5</v>
      </c>
      <c r="J83" s="66"/>
      <c r="K83" s="67">
        <f t="shared" ref="K83:K154" si="14">I83+J83</f>
        <v>2558.5</v>
      </c>
      <c r="L83" s="66"/>
      <c r="M83" s="67">
        <f t="shared" ref="M83:M154" si="15">K83+L83</f>
        <v>2558.5</v>
      </c>
      <c r="N83" s="66"/>
      <c r="O83" s="67">
        <f t="shared" ref="O83:O146" si="16">M83+N83</f>
        <v>2558.5</v>
      </c>
    </row>
    <row r="84" spans="1:15" s="107" customFormat="1" x14ac:dyDescent="0.2">
      <c r="A84" s="64" t="str">
        <f ca="1">IF(ISERROR(MATCH(E84,Код_КЦСР,0)),"",INDIRECT(ADDRESS(MATCH(E84,Код_КЦСР,0)+1,2,,,"КЦСР")))</f>
        <v>Развитие муниципальной службы в мэрии города Череповца</v>
      </c>
      <c r="B84" s="26">
        <v>801</v>
      </c>
      <c r="C84" s="65" t="s">
        <v>70</v>
      </c>
      <c r="D84" s="65" t="s">
        <v>55</v>
      </c>
      <c r="E84" s="26" t="s">
        <v>385</v>
      </c>
      <c r="F84" s="26"/>
      <c r="G84" s="66">
        <f>G85+G88</f>
        <v>135.69999999999999</v>
      </c>
      <c r="H84" s="66">
        <f>H85+H88</f>
        <v>0</v>
      </c>
      <c r="I84" s="67">
        <f t="shared" si="13"/>
        <v>135.69999999999999</v>
      </c>
      <c r="J84" s="66">
        <f>J85+J88</f>
        <v>0</v>
      </c>
      <c r="K84" s="67">
        <f t="shared" si="14"/>
        <v>135.69999999999999</v>
      </c>
      <c r="L84" s="66">
        <f>L85+L88</f>
        <v>0</v>
      </c>
      <c r="M84" s="67">
        <f t="shared" si="15"/>
        <v>135.69999999999999</v>
      </c>
      <c r="N84" s="66">
        <f>N85+N88</f>
        <v>-9.4</v>
      </c>
      <c r="O84" s="67">
        <f t="shared" si="16"/>
        <v>126.29999999999998</v>
      </c>
    </row>
    <row r="85" spans="1:15" s="107" customFormat="1" ht="49.5" x14ac:dyDescent="0.2">
      <c r="A85" s="64" t="str">
        <f ca="1">IF(ISERROR(MATCH(E85,Код_КЦСР,0)),"",INDIRECT(ADDRESS(MATCH(E85,Код_КЦСР,0)+1,2,,,"КЦСР")))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 мэрии города</v>
      </c>
      <c r="B85" s="26">
        <v>801</v>
      </c>
      <c r="C85" s="65" t="s">
        <v>70</v>
      </c>
      <c r="D85" s="65" t="s">
        <v>55</v>
      </c>
      <c r="E85" s="26" t="s">
        <v>589</v>
      </c>
      <c r="F85" s="26"/>
      <c r="G85" s="66">
        <f t="shared" ref="G85:N89" si="17">G86</f>
        <v>63.3</v>
      </c>
      <c r="H85" s="66">
        <f t="shared" si="17"/>
        <v>0</v>
      </c>
      <c r="I85" s="67">
        <f t="shared" si="13"/>
        <v>63.3</v>
      </c>
      <c r="J85" s="66">
        <f t="shared" si="17"/>
        <v>0</v>
      </c>
      <c r="K85" s="67">
        <f t="shared" si="14"/>
        <v>63.3</v>
      </c>
      <c r="L85" s="66">
        <f t="shared" si="17"/>
        <v>0</v>
      </c>
      <c r="M85" s="67">
        <f t="shared" si="15"/>
        <v>63.3</v>
      </c>
      <c r="N85" s="66">
        <f t="shared" si="17"/>
        <v>0</v>
      </c>
      <c r="O85" s="67">
        <f t="shared" si="16"/>
        <v>63.3</v>
      </c>
    </row>
    <row r="86" spans="1:15" s="107" customFormat="1" ht="33" x14ac:dyDescent="0.2">
      <c r="A86" s="73" t="str">
        <f ca="1">IF(ISERROR(MATCH(F86,Код_КВР,0)),"",INDIRECT(ADDRESS(MATCH(F86,Код_КВР,0)+1,2,,,"КВР")))</f>
        <v>Закупка товаров, работ и услуг для обеспечения государственных (муниципальных) нужд</v>
      </c>
      <c r="B86" s="26">
        <v>801</v>
      </c>
      <c r="C86" s="65" t="s">
        <v>70</v>
      </c>
      <c r="D86" s="65" t="s">
        <v>55</v>
      </c>
      <c r="E86" s="26" t="s">
        <v>589</v>
      </c>
      <c r="F86" s="26">
        <v>200</v>
      </c>
      <c r="G86" s="66">
        <f t="shared" si="17"/>
        <v>63.3</v>
      </c>
      <c r="H86" s="66">
        <f t="shared" si="17"/>
        <v>0</v>
      </c>
      <c r="I86" s="67">
        <f t="shared" si="13"/>
        <v>63.3</v>
      </c>
      <c r="J86" s="66">
        <f t="shared" si="17"/>
        <v>0</v>
      </c>
      <c r="K86" s="67">
        <f t="shared" si="14"/>
        <v>63.3</v>
      </c>
      <c r="L86" s="66">
        <f t="shared" si="17"/>
        <v>0</v>
      </c>
      <c r="M86" s="67">
        <f t="shared" si="15"/>
        <v>63.3</v>
      </c>
      <c r="N86" s="66">
        <f t="shared" si="17"/>
        <v>0</v>
      </c>
      <c r="O86" s="67">
        <f t="shared" si="16"/>
        <v>63.3</v>
      </c>
    </row>
    <row r="87" spans="1:15" s="107" customFormat="1" ht="33" x14ac:dyDescent="0.2">
      <c r="A87" s="64" t="str">
        <f ca="1">IF(ISERROR(MATCH(F87,Код_КВР,0)),"",INDIRECT(ADDRESS(MATCH(F87,Код_КВР,0)+1,2,,,"КВР")))</f>
        <v>Иные закупки товаров, работ и услуг для обеспечения государственных (муниципальных) нужд</v>
      </c>
      <c r="B87" s="26">
        <v>801</v>
      </c>
      <c r="C87" s="65" t="s">
        <v>70</v>
      </c>
      <c r="D87" s="65" t="s">
        <v>55</v>
      </c>
      <c r="E87" s="26" t="s">
        <v>589</v>
      </c>
      <c r="F87" s="26">
        <v>240</v>
      </c>
      <c r="G87" s="66">
        <v>63.3</v>
      </c>
      <c r="H87" s="67"/>
      <c r="I87" s="67">
        <f t="shared" si="13"/>
        <v>63.3</v>
      </c>
      <c r="J87" s="66"/>
      <c r="K87" s="67">
        <f t="shared" si="14"/>
        <v>63.3</v>
      </c>
      <c r="L87" s="66"/>
      <c r="M87" s="67">
        <f t="shared" si="15"/>
        <v>63.3</v>
      </c>
      <c r="N87" s="66"/>
      <c r="O87" s="67">
        <f t="shared" si="16"/>
        <v>63.3</v>
      </c>
    </row>
    <row r="88" spans="1:15" s="107" customFormat="1" x14ac:dyDescent="0.2">
      <c r="A88" s="64" t="str">
        <f ca="1">IF(ISERROR(MATCH(E88,Код_КЦСР,0)),"",INDIRECT(ADDRESS(MATCH(E88,Код_КЦСР,0)+1,2,,,"КЦСР")))</f>
        <v>Повышение престижа муниципальной службы в городе</v>
      </c>
      <c r="B88" s="26">
        <v>801</v>
      </c>
      <c r="C88" s="65" t="s">
        <v>70</v>
      </c>
      <c r="D88" s="65" t="s">
        <v>55</v>
      </c>
      <c r="E88" s="26" t="s">
        <v>386</v>
      </c>
      <c r="F88" s="26"/>
      <c r="G88" s="66">
        <f t="shared" si="17"/>
        <v>72.400000000000006</v>
      </c>
      <c r="H88" s="66">
        <f t="shared" si="17"/>
        <v>0</v>
      </c>
      <c r="I88" s="67">
        <f t="shared" si="13"/>
        <v>72.400000000000006</v>
      </c>
      <c r="J88" s="66">
        <f t="shared" si="17"/>
        <v>0</v>
      </c>
      <c r="K88" s="67">
        <f t="shared" si="14"/>
        <v>72.400000000000006</v>
      </c>
      <c r="L88" s="66">
        <f t="shared" si="17"/>
        <v>0</v>
      </c>
      <c r="M88" s="67">
        <f t="shared" si="15"/>
        <v>72.400000000000006</v>
      </c>
      <c r="N88" s="66">
        <f t="shared" si="17"/>
        <v>-9.4</v>
      </c>
      <c r="O88" s="67">
        <f t="shared" si="16"/>
        <v>63.000000000000007</v>
      </c>
    </row>
    <row r="89" spans="1:15" s="107" customFormat="1" ht="33" x14ac:dyDescent="0.2">
      <c r="A89" s="73" t="str">
        <f ca="1">IF(ISERROR(MATCH(F89,Код_КВР,0)),"",INDIRECT(ADDRESS(MATCH(F89,Код_КВР,0)+1,2,,,"КВР")))</f>
        <v>Закупка товаров, работ и услуг для обеспечения государственных (муниципальных) нужд</v>
      </c>
      <c r="B89" s="26">
        <v>801</v>
      </c>
      <c r="C89" s="65" t="s">
        <v>70</v>
      </c>
      <c r="D89" s="65" t="s">
        <v>55</v>
      </c>
      <c r="E89" s="26" t="s">
        <v>386</v>
      </c>
      <c r="F89" s="26">
        <v>200</v>
      </c>
      <c r="G89" s="66">
        <f t="shared" si="17"/>
        <v>72.400000000000006</v>
      </c>
      <c r="H89" s="66">
        <f t="shared" si="17"/>
        <v>0</v>
      </c>
      <c r="I89" s="67">
        <f t="shared" si="13"/>
        <v>72.400000000000006</v>
      </c>
      <c r="J89" s="66">
        <f t="shared" si="17"/>
        <v>0</v>
      </c>
      <c r="K89" s="67">
        <f t="shared" si="14"/>
        <v>72.400000000000006</v>
      </c>
      <c r="L89" s="66">
        <f t="shared" si="17"/>
        <v>0</v>
      </c>
      <c r="M89" s="67">
        <f t="shared" si="15"/>
        <v>72.400000000000006</v>
      </c>
      <c r="N89" s="66">
        <f t="shared" si="17"/>
        <v>-9.4</v>
      </c>
      <c r="O89" s="67">
        <f t="shared" si="16"/>
        <v>63.000000000000007</v>
      </c>
    </row>
    <row r="90" spans="1:15" s="107" customFormat="1" ht="33" x14ac:dyDescent="0.2">
      <c r="A90" s="64" t="str">
        <f ca="1">IF(ISERROR(MATCH(F90,Код_КВР,0)),"",INDIRECT(ADDRESS(MATCH(F90,Код_КВР,0)+1,2,,,"КВР")))</f>
        <v>Иные закупки товаров, работ и услуг для обеспечения государственных (муниципальных) нужд</v>
      </c>
      <c r="B90" s="26">
        <v>801</v>
      </c>
      <c r="C90" s="65" t="s">
        <v>70</v>
      </c>
      <c r="D90" s="65" t="s">
        <v>55</v>
      </c>
      <c r="E90" s="26" t="s">
        <v>386</v>
      </c>
      <c r="F90" s="26">
        <v>240</v>
      </c>
      <c r="G90" s="66">
        <v>72.400000000000006</v>
      </c>
      <c r="H90" s="67"/>
      <c r="I90" s="67">
        <f t="shared" si="13"/>
        <v>72.400000000000006</v>
      </c>
      <c r="J90" s="66"/>
      <c r="K90" s="67">
        <f t="shared" si="14"/>
        <v>72.400000000000006</v>
      </c>
      <c r="L90" s="66"/>
      <c r="M90" s="67">
        <f t="shared" si="15"/>
        <v>72.400000000000006</v>
      </c>
      <c r="N90" s="66">
        <v>-9.4</v>
      </c>
      <c r="O90" s="67">
        <f t="shared" si="16"/>
        <v>63.000000000000007</v>
      </c>
    </row>
    <row r="91" spans="1:15" s="107" customFormat="1" ht="33" x14ac:dyDescent="0.2">
      <c r="A91" s="64" t="str">
        <f ca="1">IF(ISERROR(MATCH(E91,Код_КЦСР,0)),"",INDIRECT(ADDRESS(MATCH(E91,Код_КЦСР,0)+1,2,,,"КЦСР")))</f>
        <v>Обеспечение защиты прав и законных интересов граждан, общества, государства от угроз, связанных с коррупцией</v>
      </c>
      <c r="B91" s="26">
        <v>801</v>
      </c>
      <c r="C91" s="65" t="s">
        <v>70</v>
      </c>
      <c r="D91" s="65" t="s">
        <v>55</v>
      </c>
      <c r="E91" s="26" t="s">
        <v>590</v>
      </c>
      <c r="F91" s="26"/>
      <c r="G91" s="66">
        <f>G92</f>
        <v>40.799999999999997</v>
      </c>
      <c r="H91" s="66">
        <f>H92</f>
        <v>0</v>
      </c>
      <c r="I91" s="67">
        <f t="shared" si="13"/>
        <v>40.799999999999997</v>
      </c>
      <c r="J91" s="66">
        <f>J92</f>
        <v>0</v>
      </c>
      <c r="K91" s="67">
        <f t="shared" si="14"/>
        <v>40.799999999999997</v>
      </c>
      <c r="L91" s="66">
        <f>L92</f>
        <v>0</v>
      </c>
      <c r="M91" s="67">
        <f t="shared" si="15"/>
        <v>40.799999999999997</v>
      </c>
      <c r="N91" s="66">
        <f>N92</f>
        <v>0</v>
      </c>
      <c r="O91" s="67">
        <f t="shared" si="16"/>
        <v>40.799999999999997</v>
      </c>
    </row>
    <row r="92" spans="1:15" s="107" customFormat="1" ht="33" x14ac:dyDescent="0.2">
      <c r="A92" s="64" t="str">
        <f ca="1">IF(ISERROR(MATCH(E92,Код_КЦСР,0)),"",INDIRECT(ADDRESS(MATCH(E92,Код_КЦСР,0)+1,2,,,"КЦСР")))</f>
        <v>Правовое просвещение и информирование граждан по вопросам противодействия коррупции</v>
      </c>
      <c r="B92" s="26">
        <v>801</v>
      </c>
      <c r="C92" s="65" t="s">
        <v>70</v>
      </c>
      <c r="D92" s="65" t="s">
        <v>55</v>
      </c>
      <c r="E92" s="26" t="s">
        <v>592</v>
      </c>
      <c r="F92" s="26"/>
      <c r="G92" s="66">
        <f t="shared" ref="G92:N93" si="18">G93</f>
        <v>40.799999999999997</v>
      </c>
      <c r="H92" s="66">
        <f t="shared" si="18"/>
        <v>0</v>
      </c>
      <c r="I92" s="67">
        <f t="shared" si="13"/>
        <v>40.799999999999997</v>
      </c>
      <c r="J92" s="66">
        <f t="shared" si="18"/>
        <v>0</v>
      </c>
      <c r="K92" s="67">
        <f t="shared" si="14"/>
        <v>40.799999999999997</v>
      </c>
      <c r="L92" s="66">
        <f t="shared" si="18"/>
        <v>0</v>
      </c>
      <c r="M92" s="67">
        <f t="shared" si="15"/>
        <v>40.799999999999997</v>
      </c>
      <c r="N92" s="66">
        <f t="shared" si="18"/>
        <v>0</v>
      </c>
      <c r="O92" s="67">
        <f t="shared" si="16"/>
        <v>40.799999999999997</v>
      </c>
    </row>
    <row r="93" spans="1:15" s="107" customFormat="1" ht="33" x14ac:dyDescent="0.2">
      <c r="A93" s="73" t="str">
        <f ca="1">IF(ISERROR(MATCH(F93,Код_КВР,0)),"",INDIRECT(ADDRESS(MATCH(F93,Код_КВР,0)+1,2,,,"КВР")))</f>
        <v>Закупка товаров, работ и услуг для обеспечения государственных (муниципальных) нужд</v>
      </c>
      <c r="B93" s="26">
        <v>801</v>
      </c>
      <c r="C93" s="65" t="s">
        <v>70</v>
      </c>
      <c r="D93" s="65" t="s">
        <v>55</v>
      </c>
      <c r="E93" s="26" t="s">
        <v>592</v>
      </c>
      <c r="F93" s="26">
        <v>200</v>
      </c>
      <c r="G93" s="66">
        <f t="shared" si="18"/>
        <v>40.799999999999997</v>
      </c>
      <c r="H93" s="66">
        <f t="shared" si="18"/>
        <v>0</v>
      </c>
      <c r="I93" s="67">
        <f t="shared" si="13"/>
        <v>40.799999999999997</v>
      </c>
      <c r="J93" s="66">
        <f t="shared" si="18"/>
        <v>0</v>
      </c>
      <c r="K93" s="67">
        <f t="shared" si="14"/>
        <v>40.799999999999997</v>
      </c>
      <c r="L93" s="66">
        <f t="shared" si="18"/>
        <v>0</v>
      </c>
      <c r="M93" s="67">
        <f t="shared" si="15"/>
        <v>40.799999999999997</v>
      </c>
      <c r="N93" s="66">
        <f t="shared" si="18"/>
        <v>0</v>
      </c>
      <c r="O93" s="67">
        <f t="shared" si="16"/>
        <v>40.799999999999997</v>
      </c>
    </row>
    <row r="94" spans="1:15" s="107" customFormat="1" ht="33" x14ac:dyDescent="0.2">
      <c r="A94" s="64" t="str">
        <f ca="1">IF(ISERROR(MATCH(F94,Код_КВР,0)),"",INDIRECT(ADDRESS(MATCH(F94,Код_КВР,0)+1,2,,,"КВР")))</f>
        <v>Иные закупки товаров, работ и услуг для обеспечения государственных (муниципальных) нужд</v>
      </c>
      <c r="B94" s="26">
        <v>801</v>
      </c>
      <c r="C94" s="65" t="s">
        <v>70</v>
      </c>
      <c r="D94" s="65" t="s">
        <v>55</v>
      </c>
      <c r="E94" s="26" t="s">
        <v>592</v>
      </c>
      <c r="F94" s="26">
        <v>240</v>
      </c>
      <c r="G94" s="66">
        <v>40.799999999999997</v>
      </c>
      <c r="H94" s="67"/>
      <c r="I94" s="67">
        <f t="shared" si="13"/>
        <v>40.799999999999997</v>
      </c>
      <c r="J94" s="66"/>
      <c r="K94" s="67">
        <f t="shared" si="14"/>
        <v>40.799999999999997</v>
      </c>
      <c r="L94" s="66"/>
      <c r="M94" s="67">
        <f t="shared" si="15"/>
        <v>40.799999999999997</v>
      </c>
      <c r="N94" s="66"/>
      <c r="O94" s="67">
        <f t="shared" si="16"/>
        <v>40.799999999999997</v>
      </c>
    </row>
    <row r="95" spans="1:15" s="107" customFormat="1" ht="55.5" customHeight="1" x14ac:dyDescent="0.2">
      <c r="A95" s="64" t="str">
        <f ca="1">IF(ISERROR(MATCH(E95,Код_КЦСР,0)),"",INDIRECT(ADDRESS(MATCH(E95,Код_КЦСР,0)+1,2,,,"КЦСР")))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95" s="26">
        <v>801</v>
      </c>
      <c r="C95" s="65" t="s">
        <v>70</v>
      </c>
      <c r="D95" s="65" t="s">
        <v>55</v>
      </c>
      <c r="E95" s="26" t="s">
        <v>387</v>
      </c>
      <c r="F95" s="26"/>
      <c r="G95" s="66">
        <f>G96</f>
        <v>69947.600000000006</v>
      </c>
      <c r="H95" s="66">
        <f>H96</f>
        <v>0</v>
      </c>
      <c r="I95" s="67">
        <f t="shared" si="13"/>
        <v>69947.600000000006</v>
      </c>
      <c r="J95" s="66">
        <f>J96</f>
        <v>0</v>
      </c>
      <c r="K95" s="67">
        <f t="shared" si="14"/>
        <v>69947.600000000006</v>
      </c>
      <c r="L95" s="66">
        <f>L96</f>
        <v>0</v>
      </c>
      <c r="M95" s="67">
        <f t="shared" si="15"/>
        <v>69947.600000000006</v>
      </c>
      <c r="N95" s="66">
        <f>N96</f>
        <v>0</v>
      </c>
      <c r="O95" s="67">
        <f t="shared" si="16"/>
        <v>69947.600000000006</v>
      </c>
    </row>
    <row r="96" spans="1:15" s="107" customFormat="1" ht="55.5" customHeight="1" x14ac:dyDescent="0.2">
      <c r="A96" s="64" t="str">
        <f ca="1">IF(ISERROR(MATCH(E96,Код_КЦСР,0)),"",INDIRECT(ADDRESS(MATCH(E96,Код_КЦСР,0)+1,2,,,"КЦСР")))</f>
        <v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</v>
      </c>
      <c r="B96" s="26">
        <v>801</v>
      </c>
      <c r="C96" s="65" t="s">
        <v>70</v>
      </c>
      <c r="D96" s="65" t="s">
        <v>55</v>
      </c>
      <c r="E96" s="26" t="s">
        <v>594</v>
      </c>
      <c r="F96" s="26"/>
      <c r="G96" s="66">
        <f>G97+G100</f>
        <v>69947.600000000006</v>
      </c>
      <c r="H96" s="66">
        <f>H97+H100</f>
        <v>0</v>
      </c>
      <c r="I96" s="67">
        <f t="shared" si="13"/>
        <v>69947.600000000006</v>
      </c>
      <c r="J96" s="66">
        <f>J97+J100</f>
        <v>0</v>
      </c>
      <c r="K96" s="67">
        <f t="shared" si="14"/>
        <v>69947.600000000006</v>
      </c>
      <c r="L96" s="66">
        <f>L97+L100</f>
        <v>0</v>
      </c>
      <c r="M96" s="67">
        <f t="shared" si="15"/>
        <v>69947.600000000006</v>
      </c>
      <c r="N96" s="66">
        <f>N97+N100</f>
        <v>0</v>
      </c>
      <c r="O96" s="67">
        <f t="shared" si="16"/>
        <v>69947.600000000006</v>
      </c>
    </row>
    <row r="97" spans="1:15" s="113" customFormat="1" ht="60" customHeight="1" x14ac:dyDescent="0.2">
      <c r="A97" s="64" t="str">
        <f ca="1">IF(ISERROR(MATCH(E97,Код_КЦСР,0)),"",INDIRECT(ADDRESS(MATCH(E97,Код_КЦСР,0)+1,2,,,"КЦСР")))</f>
        <v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качества, за счет средств городского бюджета</v>
      </c>
      <c r="B97" s="26">
        <v>801</v>
      </c>
      <c r="C97" s="65" t="s">
        <v>70</v>
      </c>
      <c r="D97" s="65" t="s">
        <v>55</v>
      </c>
      <c r="E97" s="26" t="s">
        <v>627</v>
      </c>
      <c r="F97" s="26"/>
      <c r="G97" s="66">
        <f>G98</f>
        <v>11143.8</v>
      </c>
      <c r="H97" s="66">
        <f>H98</f>
        <v>0</v>
      </c>
      <c r="I97" s="67">
        <f t="shared" si="13"/>
        <v>11143.8</v>
      </c>
      <c r="J97" s="66">
        <f>J98</f>
        <v>0</v>
      </c>
      <c r="K97" s="67">
        <f t="shared" si="14"/>
        <v>11143.8</v>
      </c>
      <c r="L97" s="66">
        <f>L98</f>
        <v>0</v>
      </c>
      <c r="M97" s="67">
        <f t="shared" si="15"/>
        <v>11143.8</v>
      </c>
      <c r="N97" s="66">
        <f>N98</f>
        <v>0</v>
      </c>
      <c r="O97" s="67">
        <f t="shared" si="16"/>
        <v>11143.8</v>
      </c>
    </row>
    <row r="98" spans="1:15" s="107" customFormat="1" ht="33" x14ac:dyDescent="0.2">
      <c r="A98" s="64" t="str">
        <f ca="1">IF(ISERROR(MATCH(F98,Код_КВР,0)),"",INDIRECT(ADDRESS(MATCH(F98,Код_КВР,0)+1,2,,,"КВР")))</f>
        <v>Предоставление субсидий бюджетным, автономным учреждениям и иным некоммерческим организациям</v>
      </c>
      <c r="B98" s="26">
        <v>801</v>
      </c>
      <c r="C98" s="65" t="s">
        <v>70</v>
      </c>
      <c r="D98" s="65" t="s">
        <v>55</v>
      </c>
      <c r="E98" s="26" t="s">
        <v>627</v>
      </c>
      <c r="F98" s="26">
        <v>600</v>
      </c>
      <c r="G98" s="66">
        <f>G99</f>
        <v>11143.8</v>
      </c>
      <c r="H98" s="66">
        <f>H99</f>
        <v>0</v>
      </c>
      <c r="I98" s="67">
        <f t="shared" si="13"/>
        <v>11143.8</v>
      </c>
      <c r="J98" s="66">
        <f>J99</f>
        <v>0</v>
      </c>
      <c r="K98" s="67">
        <f t="shared" si="14"/>
        <v>11143.8</v>
      </c>
      <c r="L98" s="66">
        <f>L99</f>
        <v>0</v>
      </c>
      <c r="M98" s="67">
        <f t="shared" si="15"/>
        <v>11143.8</v>
      </c>
      <c r="N98" s="66">
        <f>N99</f>
        <v>0</v>
      </c>
      <c r="O98" s="67">
        <f t="shared" si="16"/>
        <v>11143.8</v>
      </c>
    </row>
    <row r="99" spans="1:15" s="107" customFormat="1" x14ac:dyDescent="0.2">
      <c r="A99" s="64" t="str">
        <f ca="1">IF(ISERROR(MATCH(F99,Код_КВР,0)),"",INDIRECT(ADDRESS(MATCH(F99,Код_КВР,0)+1,2,,,"КВР")))</f>
        <v>Субсидии бюджетным учреждениям</v>
      </c>
      <c r="B99" s="26">
        <v>801</v>
      </c>
      <c r="C99" s="65" t="s">
        <v>70</v>
      </c>
      <c r="D99" s="65" t="s">
        <v>55</v>
      </c>
      <c r="E99" s="26" t="s">
        <v>627</v>
      </c>
      <c r="F99" s="26">
        <v>610</v>
      </c>
      <c r="G99" s="66">
        <v>11143.8</v>
      </c>
      <c r="H99" s="67"/>
      <c r="I99" s="67">
        <f t="shared" si="13"/>
        <v>11143.8</v>
      </c>
      <c r="J99" s="66"/>
      <c r="K99" s="67">
        <f t="shared" si="14"/>
        <v>11143.8</v>
      </c>
      <c r="L99" s="66"/>
      <c r="M99" s="67">
        <f t="shared" si="15"/>
        <v>11143.8</v>
      </c>
      <c r="N99" s="66"/>
      <c r="O99" s="67">
        <f t="shared" si="16"/>
        <v>11143.8</v>
      </c>
    </row>
    <row r="100" spans="1:15" s="107" customFormat="1" ht="102.75" customHeight="1" x14ac:dyDescent="0.2">
      <c r="A100" s="64" t="str">
        <f ca="1">IF(ISERROR(MATCH(E100,Код_КЦСР,0)),"",INDIRECT(ADDRESS(MATCH(E100,Код_КЦСР,0)+1,2,,,"КЦСР")))</f>
        <v>Осуществление отдельных государственных полномочий в соответствии с законом области от 10 декабря 2014 года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услуг», за счет средств областного бюджета</v>
      </c>
      <c r="B100" s="26">
        <v>801</v>
      </c>
      <c r="C100" s="65" t="s">
        <v>70</v>
      </c>
      <c r="D100" s="65" t="s">
        <v>55</v>
      </c>
      <c r="E100" s="26" t="s">
        <v>596</v>
      </c>
      <c r="F100" s="26"/>
      <c r="G100" s="66">
        <f>G101</f>
        <v>58803.8</v>
      </c>
      <c r="H100" s="66">
        <f>H101</f>
        <v>0</v>
      </c>
      <c r="I100" s="67">
        <f t="shared" si="13"/>
        <v>58803.8</v>
      </c>
      <c r="J100" s="66">
        <f>J101</f>
        <v>0</v>
      </c>
      <c r="K100" s="67">
        <f t="shared" si="14"/>
        <v>58803.8</v>
      </c>
      <c r="L100" s="66">
        <f>L101</f>
        <v>0</v>
      </c>
      <c r="M100" s="67">
        <f t="shared" si="15"/>
        <v>58803.8</v>
      </c>
      <c r="N100" s="66">
        <f>N101</f>
        <v>0</v>
      </c>
      <c r="O100" s="67">
        <f t="shared" si="16"/>
        <v>58803.8</v>
      </c>
    </row>
    <row r="101" spans="1:15" s="107" customFormat="1" ht="42" customHeight="1" x14ac:dyDescent="0.2">
      <c r="A101" s="64" t="str">
        <f ca="1">IF(ISERROR(MATCH(F101,Код_КВР,0)),"",INDIRECT(ADDRESS(MATCH(F101,Код_КВР,0)+1,2,,,"КВР")))</f>
        <v>Предоставление субсидий бюджетным, автономным учреждениям и иным некоммерческим организациям</v>
      </c>
      <c r="B101" s="26">
        <v>801</v>
      </c>
      <c r="C101" s="65" t="s">
        <v>70</v>
      </c>
      <c r="D101" s="65" t="s">
        <v>55</v>
      </c>
      <c r="E101" s="26" t="s">
        <v>596</v>
      </c>
      <c r="F101" s="26">
        <v>600</v>
      </c>
      <c r="G101" s="66">
        <f>G102</f>
        <v>58803.8</v>
      </c>
      <c r="H101" s="66">
        <f>H102</f>
        <v>0</v>
      </c>
      <c r="I101" s="67">
        <f t="shared" si="13"/>
        <v>58803.8</v>
      </c>
      <c r="J101" s="66">
        <f>J102</f>
        <v>0</v>
      </c>
      <c r="K101" s="67">
        <f t="shared" si="14"/>
        <v>58803.8</v>
      </c>
      <c r="L101" s="66">
        <f>L102</f>
        <v>0</v>
      </c>
      <c r="M101" s="67">
        <f t="shared" si="15"/>
        <v>58803.8</v>
      </c>
      <c r="N101" s="66">
        <f>N102</f>
        <v>0</v>
      </c>
      <c r="O101" s="67">
        <f t="shared" si="16"/>
        <v>58803.8</v>
      </c>
    </row>
    <row r="102" spans="1:15" s="107" customFormat="1" x14ac:dyDescent="0.2">
      <c r="A102" s="64" t="str">
        <f ca="1">IF(ISERROR(MATCH(F102,Код_КВР,0)),"",INDIRECT(ADDRESS(MATCH(F102,Код_КВР,0)+1,2,,,"КВР")))</f>
        <v>Субсидии бюджетным учреждениям</v>
      </c>
      <c r="B102" s="26">
        <v>801</v>
      </c>
      <c r="C102" s="65" t="s">
        <v>70</v>
      </c>
      <c r="D102" s="65" t="s">
        <v>55</v>
      </c>
      <c r="E102" s="26" t="s">
        <v>596</v>
      </c>
      <c r="F102" s="26">
        <v>610</v>
      </c>
      <c r="G102" s="66">
        <v>58803.8</v>
      </c>
      <c r="H102" s="67"/>
      <c r="I102" s="67">
        <f t="shared" si="13"/>
        <v>58803.8</v>
      </c>
      <c r="J102" s="66"/>
      <c r="K102" s="67">
        <f t="shared" si="14"/>
        <v>58803.8</v>
      </c>
      <c r="L102" s="66"/>
      <c r="M102" s="67">
        <f t="shared" si="15"/>
        <v>58803.8</v>
      </c>
      <c r="N102" s="66"/>
      <c r="O102" s="67">
        <f t="shared" si="16"/>
        <v>58803.8</v>
      </c>
    </row>
    <row r="103" spans="1:15" s="107" customFormat="1" ht="49.5" x14ac:dyDescent="0.2">
      <c r="A103" s="64" t="str">
        <f ca="1">IF(ISERROR(MATCH(E103,Код_КЦСР,0)),"",INDIRECT(ADDRESS(MATCH(E103,Код_КЦСР,0)+1,2,,,"КЦСР")))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2020 годы</v>
      </c>
      <c r="B103" s="26">
        <v>801</v>
      </c>
      <c r="C103" s="65" t="s">
        <v>70</v>
      </c>
      <c r="D103" s="65" t="s">
        <v>55</v>
      </c>
      <c r="E103" s="26" t="s">
        <v>389</v>
      </c>
      <c r="F103" s="26"/>
      <c r="G103" s="66">
        <f>G104+G107</f>
        <v>1141.1999999999998</v>
      </c>
      <c r="H103" s="66">
        <f>H104+H107</f>
        <v>0</v>
      </c>
      <c r="I103" s="67">
        <f t="shared" si="13"/>
        <v>1141.1999999999998</v>
      </c>
      <c r="J103" s="66">
        <f>J104+J107</f>
        <v>0</v>
      </c>
      <c r="K103" s="67">
        <f t="shared" si="14"/>
        <v>1141.1999999999998</v>
      </c>
      <c r="L103" s="66">
        <f>L104+L107+L110</f>
        <v>1000</v>
      </c>
      <c r="M103" s="67">
        <f t="shared" si="15"/>
        <v>2141.1999999999998</v>
      </c>
      <c r="N103" s="66">
        <f>N104+N107+N110</f>
        <v>9.4</v>
      </c>
      <c r="O103" s="67">
        <f t="shared" si="16"/>
        <v>2150.6</v>
      </c>
    </row>
    <row r="104" spans="1:15" s="107" customFormat="1" ht="66" x14ac:dyDescent="0.2">
      <c r="A104" s="64" t="str">
        <f ca="1">IF(ISERROR(MATCH(E104,Код_КЦСР,0)),"",INDIRECT(ADDRESS(MATCH(E104,Код_КЦСР,0)+1,2,,,"КЦСР")))</f>
        <v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v>
      </c>
      <c r="B104" s="26">
        <v>801</v>
      </c>
      <c r="C104" s="65" t="s">
        <v>70</v>
      </c>
      <c r="D104" s="65" t="s">
        <v>55</v>
      </c>
      <c r="E104" s="26" t="s">
        <v>390</v>
      </c>
      <c r="F104" s="26"/>
      <c r="G104" s="66">
        <f t="shared" ref="G104:N105" si="19">G105</f>
        <v>549.29999999999995</v>
      </c>
      <c r="H104" s="66">
        <f t="shared" si="19"/>
        <v>0</v>
      </c>
      <c r="I104" s="67">
        <f t="shared" si="13"/>
        <v>549.29999999999995</v>
      </c>
      <c r="J104" s="66">
        <f t="shared" si="19"/>
        <v>0</v>
      </c>
      <c r="K104" s="67">
        <f t="shared" si="14"/>
        <v>549.29999999999995</v>
      </c>
      <c r="L104" s="66">
        <f t="shared" si="19"/>
        <v>0</v>
      </c>
      <c r="M104" s="67">
        <f t="shared" si="15"/>
        <v>549.29999999999995</v>
      </c>
      <c r="N104" s="66">
        <f t="shared" si="19"/>
        <v>0</v>
      </c>
      <c r="O104" s="67">
        <f t="shared" si="16"/>
        <v>549.29999999999995</v>
      </c>
    </row>
    <row r="105" spans="1:15" s="107" customFormat="1" ht="33" x14ac:dyDescent="0.2">
      <c r="A105" s="64" t="str">
        <f ca="1">IF(ISERROR(MATCH(F105,Код_КВР,0)),"",INDIRECT(ADDRESS(MATCH(F105,Код_КВР,0)+1,2,,,"КВР")))</f>
        <v>Закупка товаров, работ и услуг для обеспечения государственных (муниципальных) нужд</v>
      </c>
      <c r="B105" s="26">
        <v>801</v>
      </c>
      <c r="C105" s="65" t="s">
        <v>70</v>
      </c>
      <c r="D105" s="65" t="s">
        <v>55</v>
      </c>
      <c r="E105" s="26" t="s">
        <v>390</v>
      </c>
      <c r="F105" s="26">
        <v>200</v>
      </c>
      <c r="G105" s="66">
        <f t="shared" si="19"/>
        <v>549.29999999999995</v>
      </c>
      <c r="H105" s="66">
        <f t="shared" si="19"/>
        <v>0</v>
      </c>
      <c r="I105" s="67">
        <f t="shared" si="13"/>
        <v>549.29999999999995</v>
      </c>
      <c r="J105" s="66">
        <f t="shared" si="19"/>
        <v>0</v>
      </c>
      <c r="K105" s="67">
        <f t="shared" si="14"/>
        <v>549.29999999999995</v>
      </c>
      <c r="L105" s="66">
        <f t="shared" si="19"/>
        <v>0</v>
      </c>
      <c r="M105" s="67">
        <f t="shared" si="15"/>
        <v>549.29999999999995</v>
      </c>
      <c r="N105" s="66">
        <f t="shared" si="19"/>
        <v>0</v>
      </c>
      <c r="O105" s="67">
        <f t="shared" si="16"/>
        <v>549.29999999999995</v>
      </c>
    </row>
    <row r="106" spans="1:15" s="107" customFormat="1" ht="33" x14ac:dyDescent="0.2">
      <c r="A106" s="64" t="str">
        <f ca="1">IF(ISERROR(MATCH(F106,Код_КВР,0)),"",INDIRECT(ADDRESS(MATCH(F106,Код_КВР,0)+1,2,,,"КВР")))</f>
        <v>Иные закупки товаров, работ и услуг для обеспечения государственных (муниципальных) нужд</v>
      </c>
      <c r="B106" s="26">
        <v>801</v>
      </c>
      <c r="C106" s="65" t="s">
        <v>70</v>
      </c>
      <c r="D106" s="65" t="s">
        <v>55</v>
      </c>
      <c r="E106" s="26" t="s">
        <v>390</v>
      </c>
      <c r="F106" s="26">
        <v>240</v>
      </c>
      <c r="G106" s="66">
        <v>549.29999999999995</v>
      </c>
      <c r="H106" s="67"/>
      <c r="I106" s="67">
        <f t="shared" si="13"/>
        <v>549.29999999999995</v>
      </c>
      <c r="J106" s="66"/>
      <c r="K106" s="67">
        <f t="shared" si="14"/>
        <v>549.29999999999995</v>
      </c>
      <c r="L106" s="66"/>
      <c r="M106" s="67">
        <f t="shared" si="15"/>
        <v>549.29999999999995</v>
      </c>
      <c r="N106" s="66"/>
      <c r="O106" s="67">
        <f t="shared" si="16"/>
        <v>549.29999999999995</v>
      </c>
    </row>
    <row r="107" spans="1:15" s="107" customFormat="1" ht="33" x14ac:dyDescent="0.2">
      <c r="A107" s="64" t="str">
        <f ca="1">IF(ISERROR(MATCH(E107,Код_КЦСР,0)),"",INDIRECT(ADDRESS(MATCH(E107,Код_КЦСР,0)+1,2,,,"КЦСР")))</f>
        <v>Формирование положительного имиджа Череповца на межрегиональном уровне посредством участия города в деятельности союзов и ассоциаций</v>
      </c>
      <c r="B107" s="26">
        <v>801</v>
      </c>
      <c r="C107" s="65" t="s">
        <v>70</v>
      </c>
      <c r="D107" s="65" t="s">
        <v>55</v>
      </c>
      <c r="E107" s="26" t="s">
        <v>391</v>
      </c>
      <c r="F107" s="26"/>
      <c r="G107" s="66">
        <f t="shared" ref="G107:N108" si="20">G108</f>
        <v>591.9</v>
      </c>
      <c r="H107" s="66">
        <f t="shared" si="20"/>
        <v>0</v>
      </c>
      <c r="I107" s="67">
        <f t="shared" si="13"/>
        <v>591.9</v>
      </c>
      <c r="J107" s="66">
        <f t="shared" si="20"/>
        <v>0</v>
      </c>
      <c r="K107" s="67">
        <f t="shared" si="14"/>
        <v>591.9</v>
      </c>
      <c r="L107" s="66">
        <f t="shared" si="20"/>
        <v>0</v>
      </c>
      <c r="M107" s="67">
        <f t="shared" si="15"/>
        <v>591.9</v>
      </c>
      <c r="N107" s="66">
        <f t="shared" si="20"/>
        <v>9.4</v>
      </c>
      <c r="O107" s="67">
        <f t="shared" si="16"/>
        <v>601.29999999999995</v>
      </c>
    </row>
    <row r="108" spans="1:15" s="107" customFormat="1" x14ac:dyDescent="0.2">
      <c r="A108" s="64" t="str">
        <f ca="1">IF(ISERROR(MATCH(F108,Код_КВР,0)),"",INDIRECT(ADDRESS(MATCH(F108,Код_КВР,0)+1,2,,,"КВР")))</f>
        <v>Иные бюджетные ассигнования</v>
      </c>
      <c r="B108" s="26">
        <v>801</v>
      </c>
      <c r="C108" s="65" t="s">
        <v>70</v>
      </c>
      <c r="D108" s="65" t="s">
        <v>55</v>
      </c>
      <c r="E108" s="26" t="s">
        <v>391</v>
      </c>
      <c r="F108" s="26">
        <v>800</v>
      </c>
      <c r="G108" s="66">
        <f t="shared" si="20"/>
        <v>591.9</v>
      </c>
      <c r="H108" s="66">
        <f t="shared" si="20"/>
        <v>0</v>
      </c>
      <c r="I108" s="67">
        <f t="shared" si="13"/>
        <v>591.9</v>
      </c>
      <c r="J108" s="66">
        <f t="shared" si="20"/>
        <v>0</v>
      </c>
      <c r="K108" s="67">
        <f t="shared" si="14"/>
        <v>591.9</v>
      </c>
      <c r="L108" s="66">
        <f t="shared" si="20"/>
        <v>0</v>
      </c>
      <c r="M108" s="67">
        <f t="shared" si="15"/>
        <v>591.9</v>
      </c>
      <c r="N108" s="66">
        <f t="shared" si="20"/>
        <v>9.4</v>
      </c>
      <c r="O108" s="67">
        <f t="shared" si="16"/>
        <v>601.29999999999995</v>
      </c>
    </row>
    <row r="109" spans="1:15" s="107" customFormat="1" x14ac:dyDescent="0.2">
      <c r="A109" s="64" t="str">
        <f ca="1">IF(ISERROR(MATCH(F109,Код_КВР,0)),"",INDIRECT(ADDRESS(MATCH(F109,Код_КВР,0)+1,2,,,"КВР")))</f>
        <v>Уплата налогов, сборов и иных платежей</v>
      </c>
      <c r="B109" s="26">
        <v>801</v>
      </c>
      <c r="C109" s="65" t="s">
        <v>70</v>
      </c>
      <c r="D109" s="65" t="s">
        <v>55</v>
      </c>
      <c r="E109" s="26" t="s">
        <v>391</v>
      </c>
      <c r="F109" s="26">
        <v>850</v>
      </c>
      <c r="G109" s="66">
        <v>591.9</v>
      </c>
      <c r="H109" s="67"/>
      <c r="I109" s="67">
        <f t="shared" si="13"/>
        <v>591.9</v>
      </c>
      <c r="J109" s="66"/>
      <c r="K109" s="67">
        <f t="shared" si="14"/>
        <v>591.9</v>
      </c>
      <c r="L109" s="66"/>
      <c r="M109" s="67">
        <f t="shared" si="15"/>
        <v>591.9</v>
      </c>
      <c r="N109" s="66">
        <v>9.4</v>
      </c>
      <c r="O109" s="67">
        <f t="shared" si="16"/>
        <v>601.29999999999995</v>
      </c>
    </row>
    <row r="110" spans="1:15" s="133" customFormat="1" x14ac:dyDescent="0.2">
      <c r="A110" s="64" t="str">
        <f ca="1">IF(ISERROR(MATCH(E110,Код_КЦСР,0)),"",INDIRECT(ADDRESS(MATCH(E110,Код_КЦСР,0)+1,2,,,"КЦСР")))</f>
        <v>Совершенствование деятельности социально ориентированных НКО</v>
      </c>
      <c r="B110" s="26">
        <v>801</v>
      </c>
      <c r="C110" s="65" t="s">
        <v>70</v>
      </c>
      <c r="D110" s="65" t="s">
        <v>55</v>
      </c>
      <c r="E110" s="26" t="s">
        <v>687</v>
      </c>
      <c r="F110" s="26"/>
      <c r="G110" s="66"/>
      <c r="H110" s="67"/>
      <c r="I110" s="67"/>
      <c r="J110" s="66"/>
      <c r="K110" s="67"/>
      <c r="L110" s="66">
        <f>L111</f>
        <v>1000</v>
      </c>
      <c r="M110" s="67">
        <f t="shared" si="15"/>
        <v>1000</v>
      </c>
      <c r="N110" s="66">
        <f>N111</f>
        <v>0</v>
      </c>
      <c r="O110" s="67">
        <f t="shared" si="16"/>
        <v>1000</v>
      </c>
    </row>
    <row r="111" spans="1:15" s="133" customFormat="1" ht="33" x14ac:dyDescent="0.2">
      <c r="A111" s="64" t="str">
        <f ca="1">IF(ISERROR(MATCH(F111,Код_КВР,0)),"",INDIRECT(ADDRESS(MATCH(F111,Код_КВР,0)+1,2,,,"КВР")))</f>
        <v>Предоставление субсидий бюджетным, автономным учреждениям и иным некоммерческим организациям</v>
      </c>
      <c r="B111" s="26">
        <v>801</v>
      </c>
      <c r="C111" s="65" t="s">
        <v>70</v>
      </c>
      <c r="D111" s="65" t="s">
        <v>55</v>
      </c>
      <c r="E111" s="26" t="s">
        <v>687</v>
      </c>
      <c r="F111" s="26">
        <v>600</v>
      </c>
      <c r="G111" s="66"/>
      <c r="H111" s="67"/>
      <c r="I111" s="67"/>
      <c r="J111" s="66"/>
      <c r="K111" s="67"/>
      <c r="L111" s="66">
        <f>L112</f>
        <v>1000</v>
      </c>
      <c r="M111" s="67">
        <f t="shared" si="15"/>
        <v>1000</v>
      </c>
      <c r="N111" s="66">
        <f>N112</f>
        <v>0</v>
      </c>
      <c r="O111" s="67">
        <f t="shared" si="16"/>
        <v>1000</v>
      </c>
    </row>
    <row r="112" spans="1:15" s="133" customFormat="1" ht="33" x14ac:dyDescent="0.2">
      <c r="A112" s="64" t="str">
        <f ca="1">IF(ISERROR(MATCH(F112,Код_КВР,0)),"",INDIRECT(ADDRESS(MATCH(F112,Код_КВР,0)+1,2,,,"КВР")))</f>
        <v>Субсидии некоммерческим организациям (за исключением государственных (муниципальных) учреждений)</v>
      </c>
      <c r="B112" s="26">
        <v>801</v>
      </c>
      <c r="C112" s="65" t="s">
        <v>70</v>
      </c>
      <c r="D112" s="65" t="s">
        <v>55</v>
      </c>
      <c r="E112" s="26" t="s">
        <v>687</v>
      </c>
      <c r="F112" s="26">
        <v>630</v>
      </c>
      <c r="G112" s="66"/>
      <c r="H112" s="67"/>
      <c r="I112" s="67"/>
      <c r="J112" s="66"/>
      <c r="K112" s="67"/>
      <c r="L112" s="66">
        <v>1000</v>
      </c>
      <c r="M112" s="67">
        <f t="shared" si="15"/>
        <v>1000</v>
      </c>
      <c r="N112" s="66"/>
      <c r="O112" s="67">
        <f t="shared" si="16"/>
        <v>1000</v>
      </c>
    </row>
    <row r="113" spans="1:15" s="107" customFormat="1" ht="33" x14ac:dyDescent="0.2">
      <c r="A113" s="64" t="str">
        <f ca="1">IF(ISERROR(MATCH(E113,Код_КЦСР,0)),"",INDIRECT(ADDRESS(MATCH(E113,Код_КЦСР,0)+1,2,,,"КЦСР")))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113" s="26">
        <v>801</v>
      </c>
      <c r="C113" s="65" t="s">
        <v>70</v>
      </c>
      <c r="D113" s="65" t="s">
        <v>55</v>
      </c>
      <c r="E113" s="26" t="s">
        <v>395</v>
      </c>
      <c r="F113" s="26"/>
      <c r="G113" s="66">
        <f>G114+G124</f>
        <v>25</v>
      </c>
      <c r="H113" s="66">
        <f>H114+H124</f>
        <v>0</v>
      </c>
      <c r="I113" s="67">
        <f t="shared" si="13"/>
        <v>25</v>
      </c>
      <c r="J113" s="66">
        <f>J114+J124</f>
        <v>0</v>
      </c>
      <c r="K113" s="67">
        <f t="shared" si="14"/>
        <v>25</v>
      </c>
      <c r="L113" s="66">
        <f>L114+L124</f>
        <v>0</v>
      </c>
      <c r="M113" s="67">
        <f t="shared" si="15"/>
        <v>25</v>
      </c>
      <c r="N113" s="66">
        <f>N114+N124</f>
        <v>0</v>
      </c>
      <c r="O113" s="67">
        <f t="shared" si="16"/>
        <v>25</v>
      </c>
    </row>
    <row r="114" spans="1:15" s="107" customFormat="1" x14ac:dyDescent="0.2">
      <c r="A114" s="64" t="str">
        <f ca="1">IF(ISERROR(MATCH(E114,Код_КЦСР,0)),"",INDIRECT(ADDRESS(MATCH(E114,Код_КЦСР,0)+1,2,,,"КЦСР")))</f>
        <v>Профилактика преступлений и иных правонарушений в городе Череповце</v>
      </c>
      <c r="B114" s="26">
        <v>801</v>
      </c>
      <c r="C114" s="65" t="s">
        <v>70</v>
      </c>
      <c r="D114" s="65" t="s">
        <v>55</v>
      </c>
      <c r="E114" s="26" t="s">
        <v>397</v>
      </c>
      <c r="F114" s="26"/>
      <c r="G114" s="66">
        <f>G118+G115+G121</f>
        <v>24</v>
      </c>
      <c r="H114" s="66">
        <f>H118+H115+H121</f>
        <v>0</v>
      </c>
      <c r="I114" s="67">
        <f t="shared" si="13"/>
        <v>24</v>
      </c>
      <c r="J114" s="66">
        <f>J118+J115+J121</f>
        <v>0</v>
      </c>
      <c r="K114" s="67">
        <f t="shared" si="14"/>
        <v>24</v>
      </c>
      <c r="L114" s="66">
        <f>L118+L115+L121</f>
        <v>0</v>
      </c>
      <c r="M114" s="67">
        <f t="shared" si="15"/>
        <v>24</v>
      </c>
      <c r="N114" s="66">
        <f>N118+N115+N121</f>
        <v>0</v>
      </c>
      <c r="O114" s="67">
        <f t="shared" si="16"/>
        <v>24</v>
      </c>
    </row>
    <row r="115" spans="1:15" s="107" customFormat="1" x14ac:dyDescent="0.2">
      <c r="A115" s="64" t="s">
        <v>519</v>
      </c>
      <c r="B115" s="26">
        <v>801</v>
      </c>
      <c r="C115" s="65" t="s">
        <v>70</v>
      </c>
      <c r="D115" s="65" t="s">
        <v>55</v>
      </c>
      <c r="E115" s="65" t="s">
        <v>516</v>
      </c>
      <c r="F115" s="26"/>
      <c r="G115" s="66">
        <f t="shared" ref="G115:N116" si="21">G116</f>
        <v>2</v>
      </c>
      <c r="H115" s="66">
        <f t="shared" si="21"/>
        <v>0</v>
      </c>
      <c r="I115" s="67">
        <f t="shared" si="13"/>
        <v>2</v>
      </c>
      <c r="J115" s="66">
        <f t="shared" si="21"/>
        <v>0</v>
      </c>
      <c r="K115" s="67">
        <f t="shared" si="14"/>
        <v>2</v>
      </c>
      <c r="L115" s="66">
        <f t="shared" si="21"/>
        <v>0</v>
      </c>
      <c r="M115" s="67">
        <f t="shared" si="15"/>
        <v>2</v>
      </c>
      <c r="N115" s="66">
        <f t="shared" si="21"/>
        <v>0</v>
      </c>
      <c r="O115" s="67">
        <f t="shared" si="16"/>
        <v>2</v>
      </c>
    </row>
    <row r="116" spans="1:15" s="107" customFormat="1" ht="33" x14ac:dyDescent="0.2">
      <c r="A116" s="64" t="str">
        <f ca="1">IF(ISERROR(MATCH(F116,Код_КВР,0)),"",INDIRECT(ADDRESS(MATCH(F116,Код_КВР,0)+1,2,,,"КВР")))</f>
        <v>Закупка товаров, работ и услуг для обеспечения государственных (муниципальных) нужд</v>
      </c>
      <c r="B116" s="26">
        <v>801</v>
      </c>
      <c r="C116" s="65" t="s">
        <v>70</v>
      </c>
      <c r="D116" s="65" t="s">
        <v>55</v>
      </c>
      <c r="E116" s="65" t="s">
        <v>516</v>
      </c>
      <c r="F116" s="26">
        <v>200</v>
      </c>
      <c r="G116" s="66">
        <f t="shared" si="21"/>
        <v>2</v>
      </c>
      <c r="H116" s="66">
        <f t="shared" si="21"/>
        <v>0</v>
      </c>
      <c r="I116" s="67">
        <f t="shared" si="13"/>
        <v>2</v>
      </c>
      <c r="J116" s="66">
        <f t="shared" si="21"/>
        <v>0</v>
      </c>
      <c r="K116" s="67">
        <f t="shared" si="14"/>
        <v>2</v>
      </c>
      <c r="L116" s="66">
        <f t="shared" si="21"/>
        <v>0</v>
      </c>
      <c r="M116" s="67">
        <f t="shared" si="15"/>
        <v>2</v>
      </c>
      <c r="N116" s="66">
        <f t="shared" si="21"/>
        <v>0</v>
      </c>
      <c r="O116" s="67">
        <f t="shared" si="16"/>
        <v>2</v>
      </c>
    </row>
    <row r="117" spans="1:15" s="107" customFormat="1" ht="33" x14ac:dyDescent="0.2">
      <c r="A117" s="64" t="str">
        <f ca="1">IF(ISERROR(MATCH(F117,Код_КВР,0)),"",INDIRECT(ADDRESS(MATCH(F117,Код_КВР,0)+1,2,,,"КВР")))</f>
        <v>Иные закупки товаров, работ и услуг для обеспечения государственных (муниципальных) нужд</v>
      </c>
      <c r="B117" s="26">
        <v>801</v>
      </c>
      <c r="C117" s="65" t="s">
        <v>70</v>
      </c>
      <c r="D117" s="65" t="s">
        <v>55</v>
      </c>
      <c r="E117" s="65" t="s">
        <v>516</v>
      </c>
      <c r="F117" s="26">
        <v>240</v>
      </c>
      <c r="G117" s="66">
        <v>2</v>
      </c>
      <c r="H117" s="67"/>
      <c r="I117" s="67">
        <f t="shared" si="13"/>
        <v>2</v>
      </c>
      <c r="J117" s="66"/>
      <c r="K117" s="67">
        <f t="shared" si="14"/>
        <v>2</v>
      </c>
      <c r="L117" s="66"/>
      <c r="M117" s="67">
        <f t="shared" si="15"/>
        <v>2</v>
      </c>
      <c r="N117" s="66"/>
      <c r="O117" s="67">
        <f t="shared" si="16"/>
        <v>2</v>
      </c>
    </row>
    <row r="118" spans="1:15" s="107" customFormat="1" x14ac:dyDescent="0.2">
      <c r="A118" s="64" t="str">
        <f ca="1">IF(ISERROR(MATCH(E118,Код_КЦСР,0)),"",INDIRECT(ADDRESS(MATCH(E118,Код_КЦСР,0)+1,2,,,"КЦСР")))</f>
        <v>Привлечение общественности к охране общественного порядка</v>
      </c>
      <c r="B118" s="26">
        <v>801</v>
      </c>
      <c r="C118" s="65" t="s">
        <v>70</v>
      </c>
      <c r="D118" s="65" t="s">
        <v>55</v>
      </c>
      <c r="E118" s="26" t="s">
        <v>398</v>
      </c>
      <c r="F118" s="26"/>
      <c r="G118" s="66">
        <f t="shared" ref="G118:N122" si="22">G119</f>
        <v>20</v>
      </c>
      <c r="H118" s="66">
        <f t="shared" si="22"/>
        <v>0</v>
      </c>
      <c r="I118" s="67">
        <f t="shared" si="13"/>
        <v>20</v>
      </c>
      <c r="J118" s="66">
        <f t="shared" si="22"/>
        <v>0</v>
      </c>
      <c r="K118" s="67">
        <f t="shared" si="14"/>
        <v>20</v>
      </c>
      <c r="L118" s="66">
        <f t="shared" si="22"/>
        <v>0</v>
      </c>
      <c r="M118" s="67">
        <f t="shared" si="15"/>
        <v>20</v>
      </c>
      <c r="N118" s="66">
        <f t="shared" si="22"/>
        <v>0</v>
      </c>
      <c r="O118" s="67">
        <f t="shared" si="16"/>
        <v>20</v>
      </c>
    </row>
    <row r="119" spans="1:15" s="107" customFormat="1" ht="33" x14ac:dyDescent="0.2">
      <c r="A119" s="64" t="str">
        <f ca="1">IF(ISERROR(MATCH(F119,Код_КВР,0)),"",INDIRECT(ADDRESS(MATCH(F119,Код_КВР,0)+1,2,,,"КВР")))</f>
        <v>Закупка товаров, работ и услуг для обеспечения государственных (муниципальных) нужд</v>
      </c>
      <c r="B119" s="26">
        <v>801</v>
      </c>
      <c r="C119" s="65" t="s">
        <v>70</v>
      </c>
      <c r="D119" s="65" t="s">
        <v>55</v>
      </c>
      <c r="E119" s="26" t="s">
        <v>398</v>
      </c>
      <c r="F119" s="26">
        <v>200</v>
      </c>
      <c r="G119" s="66">
        <f t="shared" si="22"/>
        <v>20</v>
      </c>
      <c r="H119" s="66">
        <f t="shared" si="22"/>
        <v>0</v>
      </c>
      <c r="I119" s="67">
        <f t="shared" si="13"/>
        <v>20</v>
      </c>
      <c r="J119" s="66">
        <f t="shared" si="22"/>
        <v>0</v>
      </c>
      <c r="K119" s="67">
        <f t="shared" si="14"/>
        <v>20</v>
      </c>
      <c r="L119" s="66">
        <f t="shared" si="22"/>
        <v>0</v>
      </c>
      <c r="M119" s="67">
        <f t="shared" si="15"/>
        <v>20</v>
      </c>
      <c r="N119" s="66">
        <f t="shared" si="22"/>
        <v>0</v>
      </c>
      <c r="O119" s="67">
        <f t="shared" si="16"/>
        <v>20</v>
      </c>
    </row>
    <row r="120" spans="1:15" s="107" customFormat="1" ht="33" x14ac:dyDescent="0.2">
      <c r="A120" s="64" t="str">
        <f ca="1">IF(ISERROR(MATCH(F120,Код_КВР,0)),"",INDIRECT(ADDRESS(MATCH(F120,Код_КВР,0)+1,2,,,"КВР")))</f>
        <v>Иные закупки товаров, работ и услуг для обеспечения государственных (муниципальных) нужд</v>
      </c>
      <c r="B120" s="26">
        <v>801</v>
      </c>
      <c r="C120" s="65" t="s">
        <v>70</v>
      </c>
      <c r="D120" s="65" t="s">
        <v>55</v>
      </c>
      <c r="E120" s="26" t="s">
        <v>398</v>
      </c>
      <c r="F120" s="26">
        <v>240</v>
      </c>
      <c r="G120" s="66">
        <v>20</v>
      </c>
      <c r="H120" s="67"/>
      <c r="I120" s="67">
        <f t="shared" si="13"/>
        <v>20</v>
      </c>
      <c r="J120" s="66"/>
      <c r="K120" s="67">
        <f t="shared" si="14"/>
        <v>20</v>
      </c>
      <c r="L120" s="66"/>
      <c r="M120" s="67">
        <f t="shared" si="15"/>
        <v>20</v>
      </c>
      <c r="N120" s="66"/>
      <c r="O120" s="67">
        <f t="shared" si="16"/>
        <v>20</v>
      </c>
    </row>
    <row r="121" spans="1:15" s="107" customFormat="1" ht="49.5" x14ac:dyDescent="0.2">
      <c r="A121" s="64" t="str">
        <f ca="1">IF(ISERROR(MATCH(E121,Код_КЦСР,0)),"",INDIRECT(ADDRESS(MATCH(E121,Код_КЦСР,0)+1,2,,,"КЦСР")))</f>
        <v>Правовое информирование граждан, создание условий для участия граждан в социально значимых мероприятиях, направленных на противодействие развитию негативных явлений в обществе</v>
      </c>
      <c r="B121" s="26">
        <v>801</v>
      </c>
      <c r="C121" s="65" t="s">
        <v>70</v>
      </c>
      <c r="D121" s="65" t="s">
        <v>55</v>
      </c>
      <c r="E121" s="26" t="s">
        <v>564</v>
      </c>
      <c r="F121" s="26"/>
      <c r="G121" s="66">
        <f t="shared" si="22"/>
        <v>2</v>
      </c>
      <c r="H121" s="66">
        <f t="shared" si="22"/>
        <v>0</v>
      </c>
      <c r="I121" s="67">
        <f t="shared" si="13"/>
        <v>2</v>
      </c>
      <c r="J121" s="66">
        <f t="shared" si="22"/>
        <v>0</v>
      </c>
      <c r="K121" s="67">
        <f t="shared" si="14"/>
        <v>2</v>
      </c>
      <c r="L121" s="66">
        <f t="shared" si="22"/>
        <v>0</v>
      </c>
      <c r="M121" s="67">
        <f t="shared" si="15"/>
        <v>2</v>
      </c>
      <c r="N121" s="66">
        <f t="shared" si="22"/>
        <v>0</v>
      </c>
      <c r="O121" s="67">
        <f t="shared" si="16"/>
        <v>2</v>
      </c>
    </row>
    <row r="122" spans="1:15" s="107" customFormat="1" ht="33" x14ac:dyDescent="0.2">
      <c r="A122" s="64" t="str">
        <f ca="1">IF(ISERROR(MATCH(F122,Код_КВР,0)),"",INDIRECT(ADDRESS(MATCH(F122,Код_КВР,0)+1,2,,,"КВР")))</f>
        <v>Закупка товаров, работ и услуг для обеспечения государственных (муниципальных) нужд</v>
      </c>
      <c r="B122" s="26">
        <v>801</v>
      </c>
      <c r="C122" s="65" t="s">
        <v>70</v>
      </c>
      <c r="D122" s="65" t="s">
        <v>55</v>
      </c>
      <c r="E122" s="26" t="s">
        <v>564</v>
      </c>
      <c r="F122" s="26">
        <v>200</v>
      </c>
      <c r="G122" s="66">
        <f t="shared" si="22"/>
        <v>2</v>
      </c>
      <c r="H122" s="66">
        <f t="shared" si="22"/>
        <v>0</v>
      </c>
      <c r="I122" s="67">
        <f t="shared" si="13"/>
        <v>2</v>
      </c>
      <c r="J122" s="66">
        <f t="shared" si="22"/>
        <v>0</v>
      </c>
      <c r="K122" s="67">
        <f t="shared" si="14"/>
        <v>2</v>
      </c>
      <c r="L122" s="66">
        <f t="shared" si="22"/>
        <v>0</v>
      </c>
      <c r="M122" s="67">
        <f t="shared" si="15"/>
        <v>2</v>
      </c>
      <c r="N122" s="66">
        <f t="shared" si="22"/>
        <v>0</v>
      </c>
      <c r="O122" s="67">
        <f t="shared" si="16"/>
        <v>2</v>
      </c>
    </row>
    <row r="123" spans="1:15" s="107" customFormat="1" ht="33" x14ac:dyDescent="0.2">
      <c r="A123" s="64" t="str">
        <f ca="1">IF(ISERROR(MATCH(F123,Код_КВР,0)),"",INDIRECT(ADDRESS(MATCH(F123,Код_КВР,0)+1,2,,,"КВР")))</f>
        <v>Иные закупки товаров, работ и услуг для обеспечения государственных (муниципальных) нужд</v>
      </c>
      <c r="B123" s="26">
        <v>801</v>
      </c>
      <c r="C123" s="65" t="s">
        <v>70</v>
      </c>
      <c r="D123" s="65" t="s">
        <v>55</v>
      </c>
      <c r="E123" s="26" t="s">
        <v>564</v>
      </c>
      <c r="F123" s="26">
        <v>240</v>
      </c>
      <c r="G123" s="66">
        <v>2</v>
      </c>
      <c r="H123" s="67"/>
      <c r="I123" s="67">
        <f t="shared" si="13"/>
        <v>2</v>
      </c>
      <c r="J123" s="66"/>
      <c r="K123" s="67">
        <f t="shared" si="14"/>
        <v>2</v>
      </c>
      <c r="L123" s="66"/>
      <c r="M123" s="67">
        <f t="shared" si="15"/>
        <v>2</v>
      </c>
      <c r="N123" s="66"/>
      <c r="O123" s="67">
        <f t="shared" si="16"/>
        <v>2</v>
      </c>
    </row>
    <row r="124" spans="1:15" s="107" customFormat="1" ht="49.5" x14ac:dyDescent="0.2">
      <c r="A124" s="52" t="str">
        <f ca="1">IF(ISERROR(MATCH(E124,Код_КЦСР,0)),"",INDIRECT(ADDRESS(MATCH(E124,Код_КЦСР,0)+1,2,,,"КЦСР")))</f>
        <v>Противодействие распространению психоактивных веществ и участие в работе по снижению масштабов их злоупотребления населением города Череповца</v>
      </c>
      <c r="B124" s="25">
        <v>801</v>
      </c>
      <c r="C124" s="87" t="s">
        <v>70</v>
      </c>
      <c r="D124" s="87" t="s">
        <v>55</v>
      </c>
      <c r="E124" s="25" t="s">
        <v>566</v>
      </c>
      <c r="F124" s="25"/>
      <c r="G124" s="88">
        <f t="shared" ref="G124:N126" si="23">G125</f>
        <v>1</v>
      </c>
      <c r="H124" s="88">
        <f t="shared" si="23"/>
        <v>0</v>
      </c>
      <c r="I124" s="67">
        <f t="shared" si="13"/>
        <v>1</v>
      </c>
      <c r="J124" s="88">
        <f t="shared" si="23"/>
        <v>0</v>
      </c>
      <c r="K124" s="67">
        <f t="shared" si="14"/>
        <v>1</v>
      </c>
      <c r="L124" s="88">
        <f t="shared" si="23"/>
        <v>0</v>
      </c>
      <c r="M124" s="67">
        <f t="shared" si="15"/>
        <v>1</v>
      </c>
      <c r="N124" s="88">
        <f t="shared" si="23"/>
        <v>0</v>
      </c>
      <c r="O124" s="67">
        <f t="shared" si="16"/>
        <v>1</v>
      </c>
    </row>
    <row r="125" spans="1:15" s="107" customFormat="1" ht="53.25" customHeight="1" x14ac:dyDescent="0.2">
      <c r="A125" s="52" t="str">
        <f ca="1">IF(ISERROR(MATCH(E125,Код_КЦСР,0)),"",INDIRECT(ADDRESS(MATCH(E125,Код_КЦСР,0)+1,2,,,"КЦСР")))</f>
        <v>Организация и проведение комплекса мероприятий, направленных на противодействие распространению психоактивных веществ на территории города</v>
      </c>
      <c r="B125" s="25">
        <v>801</v>
      </c>
      <c r="C125" s="87" t="s">
        <v>70</v>
      </c>
      <c r="D125" s="87" t="s">
        <v>55</v>
      </c>
      <c r="E125" s="25" t="s">
        <v>568</v>
      </c>
      <c r="F125" s="25"/>
      <c r="G125" s="88">
        <f t="shared" si="23"/>
        <v>1</v>
      </c>
      <c r="H125" s="88">
        <f t="shared" si="23"/>
        <v>0</v>
      </c>
      <c r="I125" s="67">
        <f t="shared" si="13"/>
        <v>1</v>
      </c>
      <c r="J125" s="88">
        <f t="shared" si="23"/>
        <v>0</v>
      </c>
      <c r="K125" s="67">
        <f t="shared" si="14"/>
        <v>1</v>
      </c>
      <c r="L125" s="88">
        <f t="shared" si="23"/>
        <v>0</v>
      </c>
      <c r="M125" s="67">
        <f t="shared" si="15"/>
        <v>1</v>
      </c>
      <c r="N125" s="88">
        <f t="shared" si="23"/>
        <v>0</v>
      </c>
      <c r="O125" s="67">
        <f t="shared" si="16"/>
        <v>1</v>
      </c>
    </row>
    <row r="126" spans="1:15" s="107" customFormat="1" ht="33" customHeight="1" x14ac:dyDescent="0.2">
      <c r="A126" s="52" t="str">
        <f ca="1">IF(ISERROR(MATCH(F126,Код_КВР,0)),"",INDIRECT(ADDRESS(MATCH(F126,Код_КВР,0)+1,2,,,"КВР")))</f>
        <v>Закупка товаров, работ и услуг для обеспечения государственных (муниципальных) нужд</v>
      </c>
      <c r="B126" s="25">
        <v>801</v>
      </c>
      <c r="C126" s="87" t="s">
        <v>70</v>
      </c>
      <c r="D126" s="87" t="s">
        <v>55</v>
      </c>
      <c r="E126" s="25" t="s">
        <v>568</v>
      </c>
      <c r="F126" s="25">
        <v>200</v>
      </c>
      <c r="G126" s="88">
        <f t="shared" si="23"/>
        <v>1</v>
      </c>
      <c r="H126" s="88">
        <f t="shared" si="23"/>
        <v>0</v>
      </c>
      <c r="I126" s="67">
        <f t="shared" si="13"/>
        <v>1</v>
      </c>
      <c r="J126" s="88">
        <f>J127</f>
        <v>0</v>
      </c>
      <c r="K126" s="67">
        <f t="shared" si="14"/>
        <v>1</v>
      </c>
      <c r="L126" s="88">
        <f>L127</f>
        <v>0</v>
      </c>
      <c r="M126" s="67">
        <f t="shared" si="15"/>
        <v>1</v>
      </c>
      <c r="N126" s="88">
        <f>N127</f>
        <v>0</v>
      </c>
      <c r="O126" s="67">
        <f t="shared" si="16"/>
        <v>1</v>
      </c>
    </row>
    <row r="127" spans="1:15" s="107" customFormat="1" ht="33" x14ac:dyDescent="0.2">
      <c r="A127" s="52" t="str">
        <f ca="1">IF(ISERROR(MATCH(F127,Код_КВР,0)),"",INDIRECT(ADDRESS(MATCH(F127,Код_КВР,0)+1,2,,,"КВР")))</f>
        <v>Иные закупки товаров, работ и услуг для обеспечения государственных (муниципальных) нужд</v>
      </c>
      <c r="B127" s="25">
        <v>801</v>
      </c>
      <c r="C127" s="87" t="s">
        <v>70</v>
      </c>
      <c r="D127" s="87" t="s">
        <v>55</v>
      </c>
      <c r="E127" s="25" t="s">
        <v>568</v>
      </c>
      <c r="F127" s="25">
        <v>240</v>
      </c>
      <c r="G127" s="88">
        <v>1</v>
      </c>
      <c r="H127" s="67"/>
      <c r="I127" s="67">
        <f t="shared" si="13"/>
        <v>1</v>
      </c>
      <c r="J127" s="88"/>
      <c r="K127" s="67">
        <f t="shared" si="14"/>
        <v>1</v>
      </c>
      <c r="L127" s="88"/>
      <c r="M127" s="67">
        <f t="shared" si="15"/>
        <v>1</v>
      </c>
      <c r="N127" s="88"/>
      <c r="O127" s="67">
        <f t="shared" si="16"/>
        <v>1</v>
      </c>
    </row>
    <row r="128" spans="1:15" s="107" customFormat="1" x14ac:dyDescent="0.2">
      <c r="A128" s="64" t="str">
        <f ca="1">IF(ISERROR(MATCH(E128,Код_КЦСР,0)),"",INDIRECT(ADDRESS(MATCH(E128,Код_КЦСР,0)+1,2,,,"КЦСР")))</f>
        <v>Расходы, не включенные в муниципальные программы города Череповца</v>
      </c>
      <c r="B128" s="26">
        <v>801</v>
      </c>
      <c r="C128" s="65" t="s">
        <v>70</v>
      </c>
      <c r="D128" s="65" t="s">
        <v>55</v>
      </c>
      <c r="E128" s="26" t="s">
        <v>399</v>
      </c>
      <c r="F128" s="26"/>
      <c r="G128" s="66">
        <f>G134</f>
        <v>50.7</v>
      </c>
      <c r="H128" s="66">
        <f>H134</f>
        <v>0</v>
      </c>
      <c r="I128" s="67">
        <f t="shared" si="13"/>
        <v>50.7</v>
      </c>
      <c r="J128" s="66">
        <f>J134</f>
        <v>0</v>
      </c>
      <c r="K128" s="67">
        <f t="shared" si="14"/>
        <v>50.7</v>
      </c>
      <c r="L128" s="88">
        <f>L129+L134</f>
        <v>5958.2</v>
      </c>
      <c r="M128" s="67">
        <f t="shared" si="15"/>
        <v>6008.9</v>
      </c>
      <c r="N128" s="88">
        <f>N129+N134</f>
        <v>0</v>
      </c>
      <c r="O128" s="67">
        <f t="shared" si="16"/>
        <v>6008.9</v>
      </c>
    </row>
    <row r="129" spans="1:15" s="137" customFormat="1" ht="33" x14ac:dyDescent="0.2">
      <c r="A129" s="52" t="str">
        <f ca="1">IF(ISERROR(MATCH(E129,Код_КЦСР,0)),"",INDIRECT(ADDRESS(MATCH(E129,Код_КЦСР,0)+1,2,,,"КЦСР")))</f>
        <v>Руководство и управление в сфере установленных функций органов местного самоуправления</v>
      </c>
      <c r="B129" s="25">
        <v>801</v>
      </c>
      <c r="C129" s="87" t="s">
        <v>70</v>
      </c>
      <c r="D129" s="87" t="s">
        <v>55</v>
      </c>
      <c r="E129" s="25" t="s">
        <v>400</v>
      </c>
      <c r="F129" s="25"/>
      <c r="G129" s="66"/>
      <c r="H129" s="66"/>
      <c r="I129" s="67"/>
      <c r="J129" s="66"/>
      <c r="K129" s="67"/>
      <c r="L129" s="66">
        <f>L130</f>
        <v>5958.2</v>
      </c>
      <c r="M129" s="67">
        <f t="shared" si="15"/>
        <v>5958.2</v>
      </c>
      <c r="N129" s="66">
        <f>N130</f>
        <v>0</v>
      </c>
      <c r="O129" s="67">
        <f t="shared" si="16"/>
        <v>5958.2</v>
      </c>
    </row>
    <row r="130" spans="1:15" s="137" customFormat="1" ht="33" x14ac:dyDescent="0.2">
      <c r="A130" s="52" t="str">
        <f ca="1">IF(ISERROR(MATCH(E130,Код_КЦСР,0)),"",INDIRECT(ADDRESS(MATCH(E130,Код_КЦСР,0)+1,2,,,"КЦСР")))</f>
        <v>Обеспечение деятельности исполнительных органов местного самоуправления</v>
      </c>
      <c r="B130" s="25">
        <v>801</v>
      </c>
      <c r="C130" s="87" t="s">
        <v>70</v>
      </c>
      <c r="D130" s="87" t="s">
        <v>55</v>
      </c>
      <c r="E130" s="25" t="s">
        <v>403</v>
      </c>
      <c r="F130" s="25"/>
      <c r="G130" s="66"/>
      <c r="H130" s="66"/>
      <c r="I130" s="67"/>
      <c r="J130" s="66"/>
      <c r="K130" s="67"/>
      <c r="L130" s="66">
        <f>L131</f>
        <v>5958.2</v>
      </c>
      <c r="M130" s="67">
        <f t="shared" si="15"/>
        <v>5958.2</v>
      </c>
      <c r="N130" s="66">
        <f>N131</f>
        <v>0</v>
      </c>
      <c r="O130" s="67">
        <f t="shared" si="16"/>
        <v>5958.2</v>
      </c>
    </row>
    <row r="131" spans="1:15" s="137" customFormat="1" ht="89.25" customHeight="1" x14ac:dyDescent="0.2">
      <c r="A131" s="52" t="str">
        <f ca="1">IF(ISERROR(MATCH(E131,Код_КЦСР,0)),"",INDIRECT(ADDRESS(MATCH(E131,Код_КЦСР,0)+1,2,,,"КЦСР")))</f>
        <v>Иные межбюджетные трансферты на стимулирование органов местного самоуправления муниципальных районов (городских округов) области за достижение наилучших результатов по социально-экономическому развитию муниципальных образований области, за счет средств областного бюджета</v>
      </c>
      <c r="B131" s="25">
        <v>801</v>
      </c>
      <c r="C131" s="87" t="s">
        <v>70</v>
      </c>
      <c r="D131" s="87" t="s">
        <v>55</v>
      </c>
      <c r="E131" s="25" t="s">
        <v>695</v>
      </c>
      <c r="F131" s="25"/>
      <c r="G131" s="66"/>
      <c r="H131" s="66"/>
      <c r="I131" s="67"/>
      <c r="J131" s="66"/>
      <c r="K131" s="67"/>
      <c r="L131" s="66">
        <f>L132</f>
        <v>5958.2</v>
      </c>
      <c r="M131" s="67">
        <f t="shared" si="15"/>
        <v>5958.2</v>
      </c>
      <c r="N131" s="66">
        <f>N132</f>
        <v>0</v>
      </c>
      <c r="O131" s="67">
        <f t="shared" si="16"/>
        <v>5958.2</v>
      </c>
    </row>
    <row r="132" spans="1:15" s="137" customFormat="1" ht="43.5" customHeight="1" x14ac:dyDescent="0.2">
      <c r="A132" s="52" t="str">
        <f ca="1">IF(ISERROR(MATCH(F132,Код_КВР,0)),"",INDIRECT(ADDRESS(MATCH(F132,Код_КВР,0)+1,2,,,"КВР")))</f>
        <v>Закупка товаров, работ и услуг для обеспечения государственных (муниципальных) нужд</v>
      </c>
      <c r="B132" s="25">
        <v>801</v>
      </c>
      <c r="C132" s="87" t="s">
        <v>70</v>
      </c>
      <c r="D132" s="87" t="s">
        <v>55</v>
      </c>
      <c r="E132" s="25" t="s">
        <v>695</v>
      </c>
      <c r="F132" s="25">
        <v>200</v>
      </c>
      <c r="G132" s="66"/>
      <c r="H132" s="66"/>
      <c r="I132" s="67"/>
      <c r="J132" s="66"/>
      <c r="K132" s="67"/>
      <c r="L132" s="66">
        <f>L133</f>
        <v>5958.2</v>
      </c>
      <c r="M132" s="67">
        <f t="shared" si="15"/>
        <v>5958.2</v>
      </c>
      <c r="N132" s="66">
        <f>N133</f>
        <v>0</v>
      </c>
      <c r="O132" s="67">
        <f t="shared" si="16"/>
        <v>5958.2</v>
      </c>
    </row>
    <row r="133" spans="1:15" s="137" customFormat="1" ht="36.75" customHeight="1" x14ac:dyDescent="0.2">
      <c r="A133" s="52" t="str">
        <f ca="1">IF(ISERROR(MATCH(F133,Код_КВР,0)),"",INDIRECT(ADDRESS(MATCH(F133,Код_КВР,0)+1,2,,,"КВР")))</f>
        <v>Иные закупки товаров, работ и услуг для обеспечения государственных (муниципальных) нужд</v>
      </c>
      <c r="B133" s="25">
        <v>801</v>
      </c>
      <c r="C133" s="87" t="s">
        <v>70</v>
      </c>
      <c r="D133" s="87" t="s">
        <v>55</v>
      </c>
      <c r="E133" s="25" t="s">
        <v>695</v>
      </c>
      <c r="F133" s="25">
        <v>240</v>
      </c>
      <c r="G133" s="66"/>
      <c r="H133" s="66"/>
      <c r="I133" s="67"/>
      <c r="J133" s="66"/>
      <c r="K133" s="67"/>
      <c r="L133" s="66">
        <v>5958.2</v>
      </c>
      <c r="M133" s="67">
        <f t="shared" si="15"/>
        <v>5958.2</v>
      </c>
      <c r="N133" s="66"/>
      <c r="O133" s="67">
        <f t="shared" si="16"/>
        <v>5958.2</v>
      </c>
    </row>
    <row r="134" spans="1:15" s="107" customFormat="1" ht="33" x14ac:dyDescent="0.2">
      <c r="A134" s="64" t="str">
        <f ca="1">IF(ISERROR(MATCH(E134,Код_КЦСР,0)),"",INDIRECT(ADDRESS(MATCH(E134,Код_КЦСР,0)+1,2,,,"КЦСР")))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134" s="26">
        <v>801</v>
      </c>
      <c r="C134" s="65" t="s">
        <v>70</v>
      </c>
      <c r="D134" s="65" t="s">
        <v>55</v>
      </c>
      <c r="E134" s="26" t="s">
        <v>415</v>
      </c>
      <c r="F134" s="26"/>
      <c r="G134" s="66">
        <f>G135+G138</f>
        <v>50.7</v>
      </c>
      <c r="H134" s="66">
        <f>H135+H138</f>
        <v>0</v>
      </c>
      <c r="I134" s="67">
        <f t="shared" si="13"/>
        <v>50.7</v>
      </c>
      <c r="J134" s="66">
        <f>J135+J138</f>
        <v>0</v>
      </c>
      <c r="K134" s="67">
        <f t="shared" si="14"/>
        <v>50.7</v>
      </c>
      <c r="L134" s="66">
        <f>L135+L138</f>
        <v>0</v>
      </c>
      <c r="M134" s="67">
        <f t="shared" si="15"/>
        <v>50.7</v>
      </c>
      <c r="N134" s="66">
        <f>N135+N138</f>
        <v>0</v>
      </c>
      <c r="O134" s="67">
        <f t="shared" si="16"/>
        <v>50.7</v>
      </c>
    </row>
    <row r="135" spans="1:15" s="107" customFormat="1" x14ac:dyDescent="0.2">
      <c r="A135" s="64" t="str">
        <f ca="1">IF(ISERROR(MATCH(E135,Код_КЦСР,0)),"",INDIRECT(ADDRESS(MATCH(E135,Код_КЦСР,0)+1,2,,,"КЦСР")))</f>
        <v>Расходы на судебные издержки и исполнение судебных решений</v>
      </c>
      <c r="B135" s="26">
        <v>801</v>
      </c>
      <c r="C135" s="65" t="s">
        <v>70</v>
      </c>
      <c r="D135" s="65" t="s">
        <v>55</v>
      </c>
      <c r="E135" s="26" t="s">
        <v>416</v>
      </c>
      <c r="F135" s="26"/>
      <c r="G135" s="66">
        <f t="shared" ref="G135:N136" si="24">G136</f>
        <v>50</v>
      </c>
      <c r="H135" s="66">
        <f t="shared" si="24"/>
        <v>0</v>
      </c>
      <c r="I135" s="67">
        <f t="shared" si="13"/>
        <v>50</v>
      </c>
      <c r="J135" s="66">
        <f t="shared" si="24"/>
        <v>0</v>
      </c>
      <c r="K135" s="67">
        <f t="shared" si="14"/>
        <v>50</v>
      </c>
      <c r="L135" s="66">
        <f t="shared" si="24"/>
        <v>0</v>
      </c>
      <c r="M135" s="67">
        <f t="shared" si="15"/>
        <v>50</v>
      </c>
      <c r="N135" s="66">
        <f t="shared" si="24"/>
        <v>0</v>
      </c>
      <c r="O135" s="67">
        <f t="shared" si="16"/>
        <v>50</v>
      </c>
    </row>
    <row r="136" spans="1:15" s="107" customFormat="1" x14ac:dyDescent="0.2">
      <c r="A136" s="64" t="str">
        <f ca="1">IF(ISERROR(MATCH(F136,Код_КВР,0)),"",INDIRECT(ADDRESS(MATCH(F136,Код_КВР,0)+1,2,,,"КВР")))</f>
        <v>Иные бюджетные ассигнования</v>
      </c>
      <c r="B136" s="26">
        <v>801</v>
      </c>
      <c r="C136" s="65" t="s">
        <v>70</v>
      </c>
      <c r="D136" s="65" t="s">
        <v>55</v>
      </c>
      <c r="E136" s="26" t="s">
        <v>416</v>
      </c>
      <c r="F136" s="26">
        <v>800</v>
      </c>
      <c r="G136" s="66">
        <f t="shared" si="24"/>
        <v>50</v>
      </c>
      <c r="H136" s="66">
        <f t="shared" si="24"/>
        <v>0</v>
      </c>
      <c r="I136" s="67">
        <f t="shared" si="13"/>
        <v>50</v>
      </c>
      <c r="J136" s="66">
        <f t="shared" si="24"/>
        <v>0</v>
      </c>
      <c r="K136" s="67">
        <f t="shared" si="14"/>
        <v>50</v>
      </c>
      <c r="L136" s="66">
        <f t="shared" si="24"/>
        <v>0</v>
      </c>
      <c r="M136" s="67">
        <f t="shared" si="15"/>
        <v>50</v>
      </c>
      <c r="N136" s="66">
        <f t="shared" si="24"/>
        <v>0</v>
      </c>
      <c r="O136" s="67">
        <f t="shared" si="16"/>
        <v>50</v>
      </c>
    </row>
    <row r="137" spans="1:15" s="107" customFormat="1" x14ac:dyDescent="0.2">
      <c r="A137" s="64" t="str">
        <f ca="1">IF(ISERROR(MATCH(F137,Код_КВР,0)),"",INDIRECT(ADDRESS(MATCH(F137,Код_КВР,0)+1,2,,,"КВР")))</f>
        <v>Исполнение судебных актов</v>
      </c>
      <c r="B137" s="26">
        <v>801</v>
      </c>
      <c r="C137" s="65" t="s">
        <v>70</v>
      </c>
      <c r="D137" s="65" t="s">
        <v>55</v>
      </c>
      <c r="E137" s="26" t="s">
        <v>416</v>
      </c>
      <c r="F137" s="26">
        <v>830</v>
      </c>
      <c r="G137" s="66">
        <v>50</v>
      </c>
      <c r="H137" s="67"/>
      <c r="I137" s="67">
        <f t="shared" si="13"/>
        <v>50</v>
      </c>
      <c r="J137" s="66"/>
      <c r="K137" s="67">
        <f t="shared" si="14"/>
        <v>50</v>
      </c>
      <c r="L137" s="66"/>
      <c r="M137" s="67">
        <f t="shared" si="15"/>
        <v>50</v>
      </c>
      <c r="N137" s="66"/>
      <c r="O137" s="67">
        <f t="shared" si="16"/>
        <v>50</v>
      </c>
    </row>
    <row r="138" spans="1:15" s="107" customFormat="1" x14ac:dyDescent="0.2">
      <c r="A138" s="64" t="str">
        <f ca="1">IF(ISERROR(MATCH(E138,Код_КЦСР,0)),"",INDIRECT(ADDRESS(MATCH(E138,Код_КЦСР,0)+1,2,,,"КЦСР")))</f>
        <v>Выполнение других обязательств органов местного самоуправления</v>
      </c>
      <c r="B138" s="26">
        <v>801</v>
      </c>
      <c r="C138" s="65" t="s">
        <v>70</v>
      </c>
      <c r="D138" s="65" t="s">
        <v>55</v>
      </c>
      <c r="E138" s="26" t="s">
        <v>417</v>
      </c>
      <c r="F138" s="26"/>
      <c r="G138" s="66">
        <f t="shared" ref="G138:N139" si="25">G139</f>
        <v>0.7</v>
      </c>
      <c r="H138" s="66">
        <f t="shared" si="25"/>
        <v>0</v>
      </c>
      <c r="I138" s="67">
        <f t="shared" si="13"/>
        <v>0.7</v>
      </c>
      <c r="J138" s="66">
        <f t="shared" si="25"/>
        <v>0</v>
      </c>
      <c r="K138" s="67">
        <f t="shared" si="14"/>
        <v>0.7</v>
      </c>
      <c r="L138" s="66">
        <f t="shared" si="25"/>
        <v>0</v>
      </c>
      <c r="M138" s="67">
        <f t="shared" si="15"/>
        <v>0.7</v>
      </c>
      <c r="N138" s="66">
        <f t="shared" si="25"/>
        <v>0</v>
      </c>
      <c r="O138" s="67">
        <f t="shared" si="16"/>
        <v>0.7</v>
      </c>
    </row>
    <row r="139" spans="1:15" s="107" customFormat="1" x14ac:dyDescent="0.2">
      <c r="A139" s="64" t="str">
        <f ca="1">IF(ISERROR(MATCH(F139,Код_КВР,0)),"",INDIRECT(ADDRESS(MATCH(F139,Код_КВР,0)+1,2,,,"КВР")))</f>
        <v>Иные бюджетные ассигнования</v>
      </c>
      <c r="B139" s="26">
        <v>801</v>
      </c>
      <c r="C139" s="65" t="s">
        <v>70</v>
      </c>
      <c r="D139" s="65" t="s">
        <v>55</v>
      </c>
      <c r="E139" s="26" t="s">
        <v>417</v>
      </c>
      <c r="F139" s="26">
        <v>800</v>
      </c>
      <c r="G139" s="66">
        <f t="shared" si="25"/>
        <v>0.7</v>
      </c>
      <c r="H139" s="66">
        <f t="shared" si="25"/>
        <v>0</v>
      </c>
      <c r="I139" s="67">
        <f t="shared" si="13"/>
        <v>0.7</v>
      </c>
      <c r="J139" s="66">
        <f t="shared" si="25"/>
        <v>0</v>
      </c>
      <c r="K139" s="67">
        <f t="shared" si="14"/>
        <v>0.7</v>
      </c>
      <c r="L139" s="66">
        <f t="shared" si="25"/>
        <v>0</v>
      </c>
      <c r="M139" s="67">
        <f t="shared" si="15"/>
        <v>0.7</v>
      </c>
      <c r="N139" s="66">
        <f t="shared" si="25"/>
        <v>0</v>
      </c>
      <c r="O139" s="67">
        <f t="shared" si="16"/>
        <v>0.7</v>
      </c>
    </row>
    <row r="140" spans="1:15" s="107" customFormat="1" x14ac:dyDescent="0.2">
      <c r="A140" s="64" t="str">
        <f ca="1">IF(ISERROR(MATCH(F140,Код_КВР,0)),"",INDIRECT(ADDRESS(MATCH(F140,Код_КВР,0)+1,2,,,"КВР")))</f>
        <v>Уплата налогов, сборов и иных платежей</v>
      </c>
      <c r="B140" s="26">
        <v>801</v>
      </c>
      <c r="C140" s="65" t="s">
        <v>70</v>
      </c>
      <c r="D140" s="65" t="s">
        <v>55</v>
      </c>
      <c r="E140" s="26" t="s">
        <v>417</v>
      </c>
      <c r="F140" s="26">
        <v>850</v>
      </c>
      <c r="G140" s="66">
        <v>0.7</v>
      </c>
      <c r="H140" s="67"/>
      <c r="I140" s="67">
        <f t="shared" si="13"/>
        <v>0.7</v>
      </c>
      <c r="J140" s="66"/>
      <c r="K140" s="67">
        <f t="shared" si="14"/>
        <v>0.7</v>
      </c>
      <c r="L140" s="66"/>
      <c r="M140" s="67">
        <f t="shared" si="15"/>
        <v>0.7</v>
      </c>
      <c r="N140" s="66"/>
      <c r="O140" s="67">
        <f t="shared" si="16"/>
        <v>0.7</v>
      </c>
    </row>
    <row r="141" spans="1:15" s="107" customFormat="1" x14ac:dyDescent="0.2">
      <c r="A141" s="64" t="str">
        <f ca="1">IF(ISERROR(MATCH(C141,Код_Раздел,0)),"",INDIRECT(ADDRESS(MATCH(C141,Код_Раздел,0)+1,2,,,"Раздел")))</f>
        <v>Национальная безопасность и правоохранительная  деятельность</v>
      </c>
      <c r="B141" s="26">
        <v>801</v>
      </c>
      <c r="C141" s="65" t="s">
        <v>72</v>
      </c>
      <c r="D141" s="65"/>
      <c r="E141" s="26"/>
      <c r="F141" s="26"/>
      <c r="G141" s="66">
        <f>G142</f>
        <v>58649.799999999996</v>
      </c>
      <c r="H141" s="66">
        <f>H142</f>
        <v>0</v>
      </c>
      <c r="I141" s="67">
        <f t="shared" si="13"/>
        <v>58649.799999999996</v>
      </c>
      <c r="J141" s="66">
        <f>J142</f>
        <v>0</v>
      </c>
      <c r="K141" s="67">
        <f t="shared" si="14"/>
        <v>58649.799999999996</v>
      </c>
      <c r="L141" s="66">
        <f>L142</f>
        <v>61.8</v>
      </c>
      <c r="M141" s="67">
        <f t="shared" si="15"/>
        <v>58711.6</v>
      </c>
      <c r="N141" s="66">
        <f>N142</f>
        <v>0</v>
      </c>
      <c r="O141" s="67">
        <f t="shared" si="16"/>
        <v>58711.6</v>
      </c>
    </row>
    <row r="142" spans="1:15" s="107" customFormat="1" ht="33" x14ac:dyDescent="0.2">
      <c r="A142" s="74" t="s">
        <v>111</v>
      </c>
      <c r="B142" s="26">
        <v>801</v>
      </c>
      <c r="C142" s="65" t="s">
        <v>72</v>
      </c>
      <c r="D142" s="65" t="s">
        <v>76</v>
      </c>
      <c r="E142" s="26"/>
      <c r="F142" s="26"/>
      <c r="G142" s="66">
        <f>G143+G177</f>
        <v>58649.799999999996</v>
      </c>
      <c r="H142" s="66">
        <f>H143+H177</f>
        <v>0</v>
      </c>
      <c r="I142" s="67">
        <f t="shared" si="13"/>
        <v>58649.799999999996</v>
      </c>
      <c r="J142" s="66">
        <f>J143+J177</f>
        <v>0</v>
      </c>
      <c r="K142" s="67">
        <f t="shared" si="14"/>
        <v>58649.799999999996</v>
      </c>
      <c r="L142" s="66">
        <f>L143+L177</f>
        <v>61.8</v>
      </c>
      <c r="M142" s="67">
        <f t="shared" si="15"/>
        <v>58711.6</v>
      </c>
      <c r="N142" s="66">
        <f>N143+N177</f>
        <v>0</v>
      </c>
      <c r="O142" s="67">
        <f t="shared" si="16"/>
        <v>58711.6</v>
      </c>
    </row>
    <row r="143" spans="1:15" s="107" customFormat="1" ht="33" x14ac:dyDescent="0.2">
      <c r="A143" s="64" t="str">
        <f ca="1">IF(ISERROR(MATCH(E143,Код_КЦСР,0)),"",INDIRECT(ADDRESS(MATCH(E143,Код_КЦСР,0)+1,2,,,"КЦСР")))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143" s="26">
        <v>801</v>
      </c>
      <c r="C143" s="65" t="s">
        <v>72</v>
      </c>
      <c r="D143" s="65" t="s">
        <v>76</v>
      </c>
      <c r="E143" s="26" t="s">
        <v>369</v>
      </c>
      <c r="F143" s="26"/>
      <c r="G143" s="66">
        <f>G144+G151+G154+G164+G173</f>
        <v>48494.2</v>
      </c>
      <c r="H143" s="66">
        <f>H144+H151+H154+H164+H173</f>
        <v>0</v>
      </c>
      <c r="I143" s="67">
        <f t="shared" si="13"/>
        <v>48494.2</v>
      </c>
      <c r="J143" s="66">
        <f>J144+J151+J154+J164+J173</f>
        <v>0</v>
      </c>
      <c r="K143" s="67">
        <f t="shared" si="14"/>
        <v>48494.2</v>
      </c>
      <c r="L143" s="66">
        <f>L144+L151+L154+L164+L173</f>
        <v>61.8</v>
      </c>
      <c r="M143" s="67">
        <f t="shared" si="15"/>
        <v>48556</v>
      </c>
      <c r="N143" s="66">
        <f>N144+N151+N154+N164+N173</f>
        <v>0</v>
      </c>
      <c r="O143" s="67">
        <f t="shared" si="16"/>
        <v>48556</v>
      </c>
    </row>
    <row r="144" spans="1:15" s="107" customFormat="1" ht="49.5" x14ac:dyDescent="0.2">
      <c r="A144" s="64" t="str">
        <f ca="1">IF(ISERROR(MATCH(E144,Код_КЦСР,0)),"",INDIRECT(ADDRESS(MATCH(E144,Код_КЦСР,0)+1,2,,,"КЦСР")))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v>
      </c>
      <c r="B144" s="26">
        <v>801</v>
      </c>
      <c r="C144" s="65" t="s">
        <v>72</v>
      </c>
      <c r="D144" s="65" t="s">
        <v>76</v>
      </c>
      <c r="E144" s="26" t="s">
        <v>454</v>
      </c>
      <c r="F144" s="26"/>
      <c r="G144" s="66">
        <f>G145+G147+G149</f>
        <v>23296.6</v>
      </c>
      <c r="H144" s="66">
        <f>H145+H147+H149</f>
        <v>0</v>
      </c>
      <c r="I144" s="67">
        <f t="shared" si="13"/>
        <v>23296.6</v>
      </c>
      <c r="J144" s="66">
        <f>J145+J147+J149</f>
        <v>0</v>
      </c>
      <c r="K144" s="67">
        <f t="shared" si="14"/>
        <v>23296.6</v>
      </c>
      <c r="L144" s="66">
        <f>L145+L147+L149</f>
        <v>61.8</v>
      </c>
      <c r="M144" s="67">
        <f t="shared" si="15"/>
        <v>23358.399999999998</v>
      </c>
      <c r="N144" s="66">
        <f>N145+N147+N149</f>
        <v>0</v>
      </c>
      <c r="O144" s="67">
        <f t="shared" si="16"/>
        <v>23358.399999999998</v>
      </c>
    </row>
    <row r="145" spans="1:15" s="107" customFormat="1" ht="49.5" x14ac:dyDescent="0.2">
      <c r="A145" s="64" t="str">
        <f t="shared" ref="A145:A150" ca="1" si="26">IF(ISERROR(MATCH(F145,Код_КВР,0)),"",INDIRECT(ADDRESS(MATCH(F145,Код_КВР,0)+1,2,,,"КВР")))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5" s="26">
        <v>801</v>
      </c>
      <c r="C145" s="65" t="s">
        <v>72</v>
      </c>
      <c r="D145" s="65" t="s">
        <v>76</v>
      </c>
      <c r="E145" s="26" t="s">
        <v>454</v>
      </c>
      <c r="F145" s="26">
        <v>100</v>
      </c>
      <c r="G145" s="66">
        <f>G146</f>
        <v>20095.5</v>
      </c>
      <c r="H145" s="66">
        <f>H146</f>
        <v>0</v>
      </c>
      <c r="I145" s="67">
        <f t="shared" si="13"/>
        <v>20095.5</v>
      </c>
      <c r="J145" s="66">
        <f>J146</f>
        <v>0</v>
      </c>
      <c r="K145" s="67">
        <f t="shared" si="14"/>
        <v>20095.5</v>
      </c>
      <c r="L145" s="66">
        <f>L146</f>
        <v>0</v>
      </c>
      <c r="M145" s="67">
        <f t="shared" si="15"/>
        <v>20095.5</v>
      </c>
      <c r="N145" s="66">
        <f>N146</f>
        <v>0</v>
      </c>
      <c r="O145" s="67">
        <f t="shared" si="16"/>
        <v>20095.5</v>
      </c>
    </row>
    <row r="146" spans="1:15" s="107" customFormat="1" x14ac:dyDescent="0.2">
      <c r="A146" s="64" t="str">
        <f t="shared" ca="1" si="26"/>
        <v>Расходы на выплаты персоналу казенных учреждений</v>
      </c>
      <c r="B146" s="26">
        <v>801</v>
      </c>
      <c r="C146" s="65" t="s">
        <v>72</v>
      </c>
      <c r="D146" s="65" t="s">
        <v>76</v>
      </c>
      <c r="E146" s="26" t="s">
        <v>454</v>
      </c>
      <c r="F146" s="26">
        <v>110</v>
      </c>
      <c r="G146" s="66">
        <f>15382.7+67.2+4645.6</f>
        <v>20095.5</v>
      </c>
      <c r="H146" s="67"/>
      <c r="I146" s="67">
        <f t="shared" si="13"/>
        <v>20095.5</v>
      </c>
      <c r="J146" s="66"/>
      <c r="K146" s="67">
        <f t="shared" si="14"/>
        <v>20095.5</v>
      </c>
      <c r="L146" s="66"/>
      <c r="M146" s="67">
        <f t="shared" si="15"/>
        <v>20095.5</v>
      </c>
      <c r="N146" s="66"/>
      <c r="O146" s="67">
        <f t="shared" si="16"/>
        <v>20095.5</v>
      </c>
    </row>
    <row r="147" spans="1:15" s="107" customFormat="1" ht="33" x14ac:dyDescent="0.2">
      <c r="A147" s="64" t="str">
        <f t="shared" ca="1" si="26"/>
        <v>Закупка товаров, работ и услуг для обеспечения государственных (муниципальных) нужд</v>
      </c>
      <c r="B147" s="26">
        <v>801</v>
      </c>
      <c r="C147" s="65" t="s">
        <v>72</v>
      </c>
      <c r="D147" s="65" t="s">
        <v>76</v>
      </c>
      <c r="E147" s="26" t="s">
        <v>454</v>
      </c>
      <c r="F147" s="26">
        <v>200</v>
      </c>
      <c r="G147" s="66">
        <f>G148</f>
        <v>2844</v>
      </c>
      <c r="H147" s="66">
        <f>H148</f>
        <v>0</v>
      </c>
      <c r="I147" s="67">
        <f t="shared" si="13"/>
        <v>2844</v>
      </c>
      <c r="J147" s="66">
        <f>J148</f>
        <v>0</v>
      </c>
      <c r="K147" s="67">
        <f t="shared" si="14"/>
        <v>2844</v>
      </c>
      <c r="L147" s="66">
        <f>L148</f>
        <v>61.8</v>
      </c>
      <c r="M147" s="67">
        <f t="shared" si="15"/>
        <v>2905.8</v>
      </c>
      <c r="N147" s="66">
        <f>N148</f>
        <v>0</v>
      </c>
      <c r="O147" s="67">
        <f t="shared" ref="O147:O210" si="27">M147+N147</f>
        <v>2905.8</v>
      </c>
    </row>
    <row r="148" spans="1:15" s="107" customFormat="1" ht="33" x14ac:dyDescent="0.2">
      <c r="A148" s="64" t="str">
        <f t="shared" ca="1" si="26"/>
        <v>Иные закупки товаров, работ и услуг для обеспечения государственных (муниципальных) нужд</v>
      </c>
      <c r="B148" s="26">
        <v>801</v>
      </c>
      <c r="C148" s="65" t="s">
        <v>72</v>
      </c>
      <c r="D148" s="65" t="s">
        <v>76</v>
      </c>
      <c r="E148" s="26" t="s">
        <v>454</v>
      </c>
      <c r="F148" s="26">
        <v>240</v>
      </c>
      <c r="G148" s="66">
        <v>2844</v>
      </c>
      <c r="H148" s="67"/>
      <c r="I148" s="67">
        <f t="shared" si="13"/>
        <v>2844</v>
      </c>
      <c r="J148" s="66"/>
      <c r="K148" s="67">
        <f t="shared" si="14"/>
        <v>2844</v>
      </c>
      <c r="L148" s="66">
        <v>61.8</v>
      </c>
      <c r="M148" s="67">
        <f t="shared" si="15"/>
        <v>2905.8</v>
      </c>
      <c r="N148" s="66"/>
      <c r="O148" s="67">
        <f t="shared" si="27"/>
        <v>2905.8</v>
      </c>
    </row>
    <row r="149" spans="1:15" s="107" customFormat="1" x14ac:dyDescent="0.2">
      <c r="A149" s="64" t="str">
        <f t="shared" ca="1" si="26"/>
        <v>Иные бюджетные ассигнования</v>
      </c>
      <c r="B149" s="26">
        <v>801</v>
      </c>
      <c r="C149" s="65" t="s">
        <v>72</v>
      </c>
      <c r="D149" s="65" t="s">
        <v>76</v>
      </c>
      <c r="E149" s="26" t="s">
        <v>454</v>
      </c>
      <c r="F149" s="26">
        <v>800</v>
      </c>
      <c r="G149" s="66">
        <f>G150</f>
        <v>357.1</v>
      </c>
      <c r="H149" s="66">
        <f>H150</f>
        <v>0</v>
      </c>
      <c r="I149" s="67">
        <f t="shared" si="13"/>
        <v>357.1</v>
      </c>
      <c r="J149" s="66">
        <f>J150</f>
        <v>0</v>
      </c>
      <c r="K149" s="67">
        <f t="shared" si="14"/>
        <v>357.1</v>
      </c>
      <c r="L149" s="66">
        <f>L150</f>
        <v>0</v>
      </c>
      <c r="M149" s="67">
        <f t="shared" si="15"/>
        <v>357.1</v>
      </c>
      <c r="N149" s="66">
        <f>N150</f>
        <v>0</v>
      </c>
      <c r="O149" s="67">
        <f t="shared" si="27"/>
        <v>357.1</v>
      </c>
    </row>
    <row r="150" spans="1:15" s="107" customFormat="1" x14ac:dyDescent="0.2">
      <c r="A150" s="64" t="str">
        <f t="shared" ca="1" si="26"/>
        <v>Уплата налогов, сборов и иных платежей</v>
      </c>
      <c r="B150" s="26">
        <v>801</v>
      </c>
      <c r="C150" s="65" t="s">
        <v>72</v>
      </c>
      <c r="D150" s="65" t="s">
        <v>76</v>
      </c>
      <c r="E150" s="26" t="s">
        <v>454</v>
      </c>
      <c r="F150" s="26">
        <v>850</v>
      </c>
      <c r="G150" s="66">
        <f>339.1+16.6+1.4</f>
        <v>357.1</v>
      </c>
      <c r="H150" s="67"/>
      <c r="I150" s="67">
        <f t="shared" si="13"/>
        <v>357.1</v>
      </c>
      <c r="J150" s="66"/>
      <c r="K150" s="67">
        <f t="shared" si="14"/>
        <v>357.1</v>
      </c>
      <c r="L150" s="66"/>
      <c r="M150" s="67">
        <f t="shared" si="15"/>
        <v>357.1</v>
      </c>
      <c r="N150" s="66"/>
      <c r="O150" s="67">
        <f t="shared" si="27"/>
        <v>357.1</v>
      </c>
    </row>
    <row r="151" spans="1:15" s="107" customFormat="1" ht="49.5" x14ac:dyDescent="0.2">
      <c r="A151" s="64" t="str">
        <f ca="1">IF(ISERROR(MATCH(E151,Код_КЦСР,0)),"",INDIRECT(ADDRESS(MATCH(E151,Код_КЦСР,0)+1,2,,,"КЦСР")))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v>
      </c>
      <c r="B151" s="26">
        <v>801</v>
      </c>
      <c r="C151" s="65" t="s">
        <v>72</v>
      </c>
      <c r="D151" s="65" t="s">
        <v>76</v>
      </c>
      <c r="E151" s="26" t="s">
        <v>456</v>
      </c>
      <c r="F151" s="26"/>
      <c r="G151" s="66">
        <f>G152</f>
        <v>22050.9</v>
      </c>
      <c r="H151" s="66">
        <f>H152</f>
        <v>0</v>
      </c>
      <c r="I151" s="67">
        <f t="shared" si="13"/>
        <v>22050.9</v>
      </c>
      <c r="J151" s="66">
        <f>J152</f>
        <v>0</v>
      </c>
      <c r="K151" s="67">
        <f t="shared" si="14"/>
        <v>22050.9</v>
      </c>
      <c r="L151" s="66">
        <f>L152</f>
        <v>0</v>
      </c>
      <c r="M151" s="67">
        <f t="shared" si="15"/>
        <v>22050.9</v>
      </c>
      <c r="N151" s="66">
        <f>N152</f>
        <v>0</v>
      </c>
      <c r="O151" s="67">
        <f t="shared" si="27"/>
        <v>22050.9</v>
      </c>
    </row>
    <row r="152" spans="1:15" s="107" customFormat="1" ht="33" x14ac:dyDescent="0.2">
      <c r="A152" s="64" t="str">
        <f ca="1">IF(ISERROR(MATCH(F152,Код_КВР,0)),"",INDIRECT(ADDRESS(MATCH(F152,Код_КВР,0)+1,2,,,"КВР")))</f>
        <v>Предоставление субсидий бюджетным, автономным учреждениям и иным некоммерческим организациям</v>
      </c>
      <c r="B152" s="26">
        <v>801</v>
      </c>
      <c r="C152" s="65" t="s">
        <v>72</v>
      </c>
      <c r="D152" s="65" t="s">
        <v>76</v>
      </c>
      <c r="E152" s="26" t="s">
        <v>456</v>
      </c>
      <c r="F152" s="26">
        <v>600</v>
      </c>
      <c r="G152" s="66">
        <f>G153</f>
        <v>22050.9</v>
      </c>
      <c r="H152" s="66">
        <f>H153</f>
        <v>0</v>
      </c>
      <c r="I152" s="67">
        <f t="shared" si="13"/>
        <v>22050.9</v>
      </c>
      <c r="J152" s="66">
        <f>J153</f>
        <v>0</v>
      </c>
      <c r="K152" s="67">
        <f t="shared" si="14"/>
        <v>22050.9</v>
      </c>
      <c r="L152" s="66">
        <f>L153</f>
        <v>0</v>
      </c>
      <c r="M152" s="67">
        <f t="shared" si="15"/>
        <v>22050.9</v>
      </c>
      <c r="N152" s="66">
        <f>N153</f>
        <v>0</v>
      </c>
      <c r="O152" s="67">
        <f t="shared" si="27"/>
        <v>22050.9</v>
      </c>
    </row>
    <row r="153" spans="1:15" s="107" customFormat="1" x14ac:dyDescent="0.2">
      <c r="A153" s="64" t="str">
        <f ca="1">IF(ISERROR(MATCH(F153,Код_КВР,0)),"",INDIRECT(ADDRESS(MATCH(F153,Код_КВР,0)+1,2,,,"КВР")))</f>
        <v>Субсидии бюджетным учреждениям</v>
      </c>
      <c r="B153" s="26">
        <v>801</v>
      </c>
      <c r="C153" s="65" t="s">
        <v>72</v>
      </c>
      <c r="D153" s="65" t="s">
        <v>76</v>
      </c>
      <c r="E153" s="26" t="s">
        <v>456</v>
      </c>
      <c r="F153" s="26">
        <v>610</v>
      </c>
      <c r="G153" s="66">
        <v>22050.9</v>
      </c>
      <c r="H153" s="67"/>
      <c r="I153" s="67">
        <f t="shared" si="13"/>
        <v>22050.9</v>
      </c>
      <c r="J153" s="66"/>
      <c r="K153" s="67">
        <f t="shared" si="14"/>
        <v>22050.9</v>
      </c>
      <c r="L153" s="66"/>
      <c r="M153" s="67">
        <f t="shared" si="15"/>
        <v>22050.9</v>
      </c>
      <c r="N153" s="66"/>
      <c r="O153" s="67">
        <f t="shared" si="27"/>
        <v>22050.9</v>
      </c>
    </row>
    <row r="154" spans="1:15" s="107" customFormat="1" x14ac:dyDescent="0.2">
      <c r="A154" s="64" t="str">
        <f ca="1">IF(ISERROR(MATCH(E154,Код_КЦСР,0)),"",INDIRECT(ADDRESS(MATCH(E154,Код_КЦСР,0)+1,2,,,"КЦСР")))</f>
        <v>Обеспечение пожарной безопасности муниципальных учреждений города</v>
      </c>
      <c r="B154" s="26">
        <v>801</v>
      </c>
      <c r="C154" s="65" t="s">
        <v>72</v>
      </c>
      <c r="D154" s="65" t="s">
        <v>76</v>
      </c>
      <c r="E154" s="26" t="s">
        <v>370</v>
      </c>
      <c r="F154" s="26"/>
      <c r="G154" s="66">
        <f>G155+G158+G161</f>
        <v>108.5</v>
      </c>
      <c r="H154" s="66">
        <f>H155+H158+H161</f>
        <v>0</v>
      </c>
      <c r="I154" s="67">
        <f t="shared" si="13"/>
        <v>108.5</v>
      </c>
      <c r="J154" s="66">
        <f>J155+J158+J161</f>
        <v>0</v>
      </c>
      <c r="K154" s="67">
        <f t="shared" si="14"/>
        <v>108.5</v>
      </c>
      <c r="L154" s="66">
        <f>L155+L158+L161</f>
        <v>0</v>
      </c>
      <c r="M154" s="67">
        <f t="shared" si="15"/>
        <v>108.5</v>
      </c>
      <c r="N154" s="66">
        <f>N155+N158+N161</f>
        <v>0</v>
      </c>
      <c r="O154" s="67">
        <f t="shared" si="27"/>
        <v>108.5</v>
      </c>
    </row>
    <row r="155" spans="1:15" s="107" customFormat="1" ht="33" x14ac:dyDescent="0.2">
      <c r="A155" s="64" t="str">
        <f ca="1">IF(ISERROR(MATCH(E155,Код_КЦСР,0)),"",INDIRECT(ADDRESS(MATCH(E155,Код_КЦСР,0)+1,2,,,"КЦСР")))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155" s="26">
        <v>801</v>
      </c>
      <c r="C155" s="65" t="s">
        <v>72</v>
      </c>
      <c r="D155" s="65" t="s">
        <v>76</v>
      </c>
      <c r="E155" s="26" t="s">
        <v>371</v>
      </c>
      <c r="F155" s="26"/>
      <c r="G155" s="66">
        <f t="shared" ref="G155:N162" si="28">G156</f>
        <v>87</v>
      </c>
      <c r="H155" s="66">
        <f t="shared" si="28"/>
        <v>0</v>
      </c>
      <c r="I155" s="67">
        <f t="shared" ref="I155:I218" si="29">G155+H155</f>
        <v>87</v>
      </c>
      <c r="J155" s="66">
        <f t="shared" si="28"/>
        <v>0</v>
      </c>
      <c r="K155" s="67">
        <f t="shared" ref="K155:K218" si="30">I155+J155</f>
        <v>87</v>
      </c>
      <c r="L155" s="66">
        <f t="shared" si="28"/>
        <v>0</v>
      </c>
      <c r="M155" s="67">
        <f t="shared" ref="M155:M218" si="31">K155+L155</f>
        <v>87</v>
      </c>
      <c r="N155" s="66">
        <f t="shared" si="28"/>
        <v>0</v>
      </c>
      <c r="O155" s="67">
        <f t="shared" si="27"/>
        <v>87</v>
      </c>
    </row>
    <row r="156" spans="1:15" s="107" customFormat="1" ht="33" x14ac:dyDescent="0.2">
      <c r="A156" s="64" t="str">
        <f ca="1">IF(ISERROR(MATCH(F156,Код_КВР,0)),"",INDIRECT(ADDRESS(MATCH(F156,Код_КВР,0)+1,2,,,"КВР")))</f>
        <v>Закупка товаров, работ и услуг для обеспечения государственных (муниципальных) нужд</v>
      </c>
      <c r="B156" s="26">
        <v>801</v>
      </c>
      <c r="C156" s="65" t="s">
        <v>72</v>
      </c>
      <c r="D156" s="65" t="s">
        <v>76</v>
      </c>
      <c r="E156" s="26" t="s">
        <v>371</v>
      </c>
      <c r="F156" s="26">
        <v>200</v>
      </c>
      <c r="G156" s="66">
        <f t="shared" si="28"/>
        <v>87</v>
      </c>
      <c r="H156" s="66">
        <f t="shared" si="28"/>
        <v>0</v>
      </c>
      <c r="I156" s="67">
        <f t="shared" si="29"/>
        <v>87</v>
      </c>
      <c r="J156" s="66">
        <f t="shared" si="28"/>
        <v>0</v>
      </c>
      <c r="K156" s="67">
        <f t="shared" si="30"/>
        <v>87</v>
      </c>
      <c r="L156" s="66">
        <f t="shared" si="28"/>
        <v>0</v>
      </c>
      <c r="M156" s="67">
        <f t="shared" si="31"/>
        <v>87</v>
      </c>
      <c r="N156" s="66">
        <f t="shared" si="28"/>
        <v>0</v>
      </c>
      <c r="O156" s="67">
        <f t="shared" si="27"/>
        <v>87</v>
      </c>
    </row>
    <row r="157" spans="1:15" s="107" customFormat="1" ht="33" x14ac:dyDescent="0.2">
      <c r="A157" s="64" t="str">
        <f ca="1">IF(ISERROR(MATCH(F157,Код_КВР,0)),"",INDIRECT(ADDRESS(MATCH(F157,Код_КВР,0)+1,2,,,"КВР")))</f>
        <v>Иные закупки товаров, работ и услуг для обеспечения государственных (муниципальных) нужд</v>
      </c>
      <c r="B157" s="26">
        <v>801</v>
      </c>
      <c r="C157" s="65" t="s">
        <v>72</v>
      </c>
      <c r="D157" s="65" t="s">
        <v>76</v>
      </c>
      <c r="E157" s="26" t="s">
        <v>371</v>
      </c>
      <c r="F157" s="26">
        <v>240</v>
      </c>
      <c r="G157" s="66">
        <v>87</v>
      </c>
      <c r="H157" s="67"/>
      <c r="I157" s="67">
        <f t="shared" si="29"/>
        <v>87</v>
      </c>
      <c r="J157" s="66"/>
      <c r="K157" s="67">
        <f t="shared" si="30"/>
        <v>87</v>
      </c>
      <c r="L157" s="66"/>
      <c r="M157" s="67">
        <f t="shared" si="31"/>
        <v>87</v>
      </c>
      <c r="N157" s="66"/>
      <c r="O157" s="67">
        <f t="shared" si="27"/>
        <v>87</v>
      </c>
    </row>
    <row r="158" spans="1:15" s="107" customFormat="1" ht="33" x14ac:dyDescent="0.2">
      <c r="A158" s="64" t="str">
        <f ca="1">IF(ISERROR(MATCH(E158,Код_КЦСР,0)),"",INDIRECT(ADDRESS(MATCH(E158,Код_КЦСР,0)+1,2,,,"КЦСР")))</f>
        <v>Приобретение первичных средств пожаротушения, перезарядка огнетушителей</v>
      </c>
      <c r="B158" s="26">
        <v>801</v>
      </c>
      <c r="C158" s="65" t="s">
        <v>72</v>
      </c>
      <c r="D158" s="65" t="s">
        <v>76</v>
      </c>
      <c r="E158" s="26" t="s">
        <v>570</v>
      </c>
      <c r="F158" s="26"/>
      <c r="G158" s="66">
        <f t="shared" si="28"/>
        <v>7.5</v>
      </c>
      <c r="H158" s="66">
        <f t="shared" si="28"/>
        <v>0</v>
      </c>
      <c r="I158" s="67">
        <f t="shared" si="29"/>
        <v>7.5</v>
      </c>
      <c r="J158" s="66">
        <f t="shared" si="28"/>
        <v>0</v>
      </c>
      <c r="K158" s="67">
        <f t="shared" si="30"/>
        <v>7.5</v>
      </c>
      <c r="L158" s="66">
        <f t="shared" si="28"/>
        <v>0</v>
      </c>
      <c r="M158" s="67">
        <f t="shared" si="31"/>
        <v>7.5</v>
      </c>
      <c r="N158" s="66">
        <f t="shared" si="28"/>
        <v>0</v>
      </c>
      <c r="O158" s="67">
        <f t="shared" si="27"/>
        <v>7.5</v>
      </c>
    </row>
    <row r="159" spans="1:15" s="107" customFormat="1" ht="33" x14ac:dyDescent="0.2">
      <c r="A159" s="64" t="str">
        <f ca="1">IF(ISERROR(MATCH(F159,Код_КВР,0)),"",INDIRECT(ADDRESS(MATCH(F159,Код_КВР,0)+1,2,,,"КВР")))</f>
        <v>Закупка товаров, работ и услуг для обеспечения государственных (муниципальных) нужд</v>
      </c>
      <c r="B159" s="26">
        <v>801</v>
      </c>
      <c r="C159" s="65" t="s">
        <v>72</v>
      </c>
      <c r="D159" s="65" t="s">
        <v>76</v>
      </c>
      <c r="E159" s="26" t="s">
        <v>570</v>
      </c>
      <c r="F159" s="26">
        <v>200</v>
      </c>
      <c r="G159" s="66">
        <f t="shared" si="28"/>
        <v>7.5</v>
      </c>
      <c r="H159" s="66">
        <f t="shared" si="28"/>
        <v>0</v>
      </c>
      <c r="I159" s="67">
        <f t="shared" si="29"/>
        <v>7.5</v>
      </c>
      <c r="J159" s="66">
        <f t="shared" si="28"/>
        <v>0</v>
      </c>
      <c r="K159" s="67">
        <f t="shared" si="30"/>
        <v>7.5</v>
      </c>
      <c r="L159" s="66">
        <f t="shared" si="28"/>
        <v>0</v>
      </c>
      <c r="M159" s="67">
        <f t="shared" si="31"/>
        <v>7.5</v>
      </c>
      <c r="N159" s="66">
        <f t="shared" si="28"/>
        <v>0</v>
      </c>
      <c r="O159" s="67">
        <f t="shared" si="27"/>
        <v>7.5</v>
      </c>
    </row>
    <row r="160" spans="1:15" s="107" customFormat="1" ht="33" x14ac:dyDescent="0.2">
      <c r="A160" s="64" t="str">
        <f ca="1">IF(ISERROR(MATCH(F160,Код_КВР,0)),"",INDIRECT(ADDRESS(MATCH(F160,Код_КВР,0)+1,2,,,"КВР")))</f>
        <v>Иные закупки товаров, работ и услуг для обеспечения государственных (муниципальных) нужд</v>
      </c>
      <c r="B160" s="26">
        <v>801</v>
      </c>
      <c r="C160" s="65" t="s">
        <v>72</v>
      </c>
      <c r="D160" s="65" t="s">
        <v>76</v>
      </c>
      <c r="E160" s="26" t="s">
        <v>570</v>
      </c>
      <c r="F160" s="26">
        <v>240</v>
      </c>
      <c r="G160" s="66">
        <v>7.5</v>
      </c>
      <c r="H160" s="67"/>
      <c r="I160" s="67">
        <f t="shared" si="29"/>
        <v>7.5</v>
      </c>
      <c r="J160" s="66"/>
      <c r="K160" s="67">
        <f t="shared" si="30"/>
        <v>7.5</v>
      </c>
      <c r="L160" s="66"/>
      <c r="M160" s="67">
        <f t="shared" si="31"/>
        <v>7.5</v>
      </c>
      <c r="N160" s="66"/>
      <c r="O160" s="67">
        <f t="shared" si="27"/>
        <v>7.5</v>
      </c>
    </row>
    <row r="161" spans="1:15" s="107" customFormat="1" x14ac:dyDescent="0.2">
      <c r="A161" s="64" t="str">
        <f ca="1">IF(ISERROR(MATCH(E161,Код_КЦСР,0)),"",INDIRECT(ADDRESS(MATCH(E161,Код_КЦСР,0)+1,2,,,"КЦСР")))</f>
        <v>Ремонт и испытание наружных пожарных лестниц</v>
      </c>
      <c r="B161" s="26">
        <v>801</v>
      </c>
      <c r="C161" s="65" t="s">
        <v>72</v>
      </c>
      <c r="D161" s="65" t="s">
        <v>76</v>
      </c>
      <c r="E161" s="26" t="s">
        <v>375</v>
      </c>
      <c r="F161" s="26"/>
      <c r="G161" s="66">
        <f t="shared" si="28"/>
        <v>14</v>
      </c>
      <c r="H161" s="66">
        <f t="shared" si="28"/>
        <v>0</v>
      </c>
      <c r="I161" s="67">
        <f t="shared" si="29"/>
        <v>14</v>
      </c>
      <c r="J161" s="66">
        <f t="shared" si="28"/>
        <v>0</v>
      </c>
      <c r="K161" s="67">
        <f t="shared" si="30"/>
        <v>14</v>
      </c>
      <c r="L161" s="66">
        <f t="shared" si="28"/>
        <v>0</v>
      </c>
      <c r="M161" s="67">
        <f t="shared" si="31"/>
        <v>14</v>
      </c>
      <c r="N161" s="66">
        <f t="shared" si="28"/>
        <v>0</v>
      </c>
      <c r="O161" s="67">
        <f t="shared" si="27"/>
        <v>14</v>
      </c>
    </row>
    <row r="162" spans="1:15" s="107" customFormat="1" ht="33" x14ac:dyDescent="0.2">
      <c r="A162" s="64" t="str">
        <f ca="1">IF(ISERROR(MATCH(F162,Код_КВР,0)),"",INDIRECT(ADDRESS(MATCH(F162,Код_КВР,0)+1,2,,,"КВР")))</f>
        <v>Закупка товаров, работ и услуг для обеспечения государственных (муниципальных) нужд</v>
      </c>
      <c r="B162" s="26">
        <v>801</v>
      </c>
      <c r="C162" s="65" t="s">
        <v>72</v>
      </c>
      <c r="D162" s="65" t="s">
        <v>76</v>
      </c>
      <c r="E162" s="26" t="s">
        <v>375</v>
      </c>
      <c r="F162" s="26">
        <v>200</v>
      </c>
      <c r="G162" s="66">
        <f t="shared" si="28"/>
        <v>14</v>
      </c>
      <c r="H162" s="66">
        <f t="shared" si="28"/>
        <v>0</v>
      </c>
      <c r="I162" s="67">
        <f t="shared" si="29"/>
        <v>14</v>
      </c>
      <c r="J162" s="66">
        <f t="shared" si="28"/>
        <v>0</v>
      </c>
      <c r="K162" s="67">
        <f t="shared" si="30"/>
        <v>14</v>
      </c>
      <c r="L162" s="66">
        <f t="shared" si="28"/>
        <v>0</v>
      </c>
      <c r="M162" s="67">
        <f t="shared" si="31"/>
        <v>14</v>
      </c>
      <c r="N162" s="66">
        <f t="shared" si="28"/>
        <v>0</v>
      </c>
      <c r="O162" s="67">
        <f t="shared" si="27"/>
        <v>14</v>
      </c>
    </row>
    <row r="163" spans="1:15" s="107" customFormat="1" ht="33" x14ac:dyDescent="0.2">
      <c r="A163" s="64" t="str">
        <f ca="1">IF(ISERROR(MATCH(F163,Код_КВР,0)),"",INDIRECT(ADDRESS(MATCH(F163,Код_КВР,0)+1,2,,,"КВР")))</f>
        <v>Иные закупки товаров, работ и услуг для обеспечения государственных (муниципальных) нужд</v>
      </c>
      <c r="B163" s="26">
        <v>801</v>
      </c>
      <c r="C163" s="65" t="s">
        <v>72</v>
      </c>
      <c r="D163" s="65" t="s">
        <v>76</v>
      </c>
      <c r="E163" s="26" t="s">
        <v>375</v>
      </c>
      <c r="F163" s="26">
        <v>240</v>
      </c>
      <c r="G163" s="66">
        <v>14</v>
      </c>
      <c r="H163" s="67"/>
      <c r="I163" s="67">
        <f t="shared" si="29"/>
        <v>14</v>
      </c>
      <c r="J163" s="66"/>
      <c r="K163" s="67">
        <f t="shared" si="30"/>
        <v>14</v>
      </c>
      <c r="L163" s="66"/>
      <c r="M163" s="67">
        <f t="shared" si="31"/>
        <v>14</v>
      </c>
      <c r="N163" s="66"/>
      <c r="O163" s="67">
        <f t="shared" si="27"/>
        <v>14</v>
      </c>
    </row>
    <row r="164" spans="1:15" s="107" customFormat="1" ht="33" x14ac:dyDescent="0.2">
      <c r="A164" s="64" t="str">
        <f ca="1">IF(ISERROR(MATCH(E164,Код_КЦСР,0)),"",INDIRECT(ADDRESS(MATCH(E164,Код_КЦСР,0)+1,2,,,"КЦСР")))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164" s="26">
        <v>801</v>
      </c>
      <c r="C164" s="65" t="s">
        <v>72</v>
      </c>
      <c r="D164" s="65" t="s">
        <v>76</v>
      </c>
      <c r="E164" s="26" t="s">
        <v>378</v>
      </c>
      <c r="F164" s="26"/>
      <c r="G164" s="66">
        <f>G165+G168</f>
        <v>1184</v>
      </c>
      <c r="H164" s="66">
        <f>H165+H168</f>
        <v>0</v>
      </c>
      <c r="I164" s="67">
        <f t="shared" si="29"/>
        <v>1184</v>
      </c>
      <c r="J164" s="66">
        <f>J165+J168</f>
        <v>0</v>
      </c>
      <c r="K164" s="67">
        <f t="shared" si="30"/>
        <v>1184</v>
      </c>
      <c r="L164" s="66">
        <f>L165+L168</f>
        <v>0</v>
      </c>
      <c r="M164" s="67">
        <f t="shared" si="31"/>
        <v>1184</v>
      </c>
      <c r="N164" s="66">
        <f>N165+N168</f>
        <v>0</v>
      </c>
      <c r="O164" s="67">
        <f t="shared" si="27"/>
        <v>1184</v>
      </c>
    </row>
    <row r="165" spans="1:15" s="107" customFormat="1" ht="33" x14ac:dyDescent="0.2">
      <c r="A165" s="64" t="str">
        <f ca="1">IF(ISERROR(MATCH(E165,Код_КЦСР,0)),"",INDIRECT(ADDRESS(MATCH(E165,Код_КЦСР,0)+1,2,,,"КЦСР")))</f>
        <v>Оснащение аварийно-спасательных подразделений МБУ «СпаС» современными аварийно-спасательными средствами и инструментом</v>
      </c>
      <c r="B165" s="26">
        <v>801</v>
      </c>
      <c r="C165" s="65" t="s">
        <v>72</v>
      </c>
      <c r="D165" s="65" t="s">
        <v>76</v>
      </c>
      <c r="E165" s="26" t="s">
        <v>379</v>
      </c>
      <c r="F165" s="26"/>
      <c r="G165" s="66">
        <f t="shared" ref="G165:N166" si="32">G166</f>
        <v>590</v>
      </c>
      <c r="H165" s="66">
        <f t="shared" si="32"/>
        <v>0</v>
      </c>
      <c r="I165" s="67">
        <f t="shared" si="29"/>
        <v>590</v>
      </c>
      <c r="J165" s="66">
        <f t="shared" si="32"/>
        <v>0</v>
      </c>
      <c r="K165" s="67">
        <f t="shared" si="30"/>
        <v>590</v>
      </c>
      <c r="L165" s="66">
        <f t="shared" si="32"/>
        <v>0</v>
      </c>
      <c r="M165" s="67">
        <f t="shared" si="31"/>
        <v>590</v>
      </c>
      <c r="N165" s="66">
        <f t="shared" si="32"/>
        <v>0</v>
      </c>
      <c r="O165" s="67">
        <f t="shared" si="27"/>
        <v>590</v>
      </c>
    </row>
    <row r="166" spans="1:15" s="107" customFormat="1" ht="33" x14ac:dyDescent="0.2">
      <c r="A166" s="64" t="str">
        <f ca="1">IF(ISERROR(MATCH(F166,Код_КВР,0)),"",INDIRECT(ADDRESS(MATCH(F166,Код_КВР,0)+1,2,,,"КВР")))</f>
        <v>Предоставление субсидий бюджетным, автономным учреждениям и иным некоммерческим организациям</v>
      </c>
      <c r="B166" s="26">
        <v>801</v>
      </c>
      <c r="C166" s="65" t="s">
        <v>72</v>
      </c>
      <c r="D166" s="65" t="s">
        <v>76</v>
      </c>
      <c r="E166" s="26" t="s">
        <v>379</v>
      </c>
      <c r="F166" s="26">
        <v>600</v>
      </c>
      <c r="G166" s="66">
        <f t="shared" si="32"/>
        <v>590</v>
      </c>
      <c r="H166" s="66">
        <f t="shared" si="32"/>
        <v>0</v>
      </c>
      <c r="I166" s="67">
        <f t="shared" si="29"/>
        <v>590</v>
      </c>
      <c r="J166" s="66">
        <f t="shared" si="32"/>
        <v>0</v>
      </c>
      <c r="K166" s="67">
        <f t="shared" si="30"/>
        <v>590</v>
      </c>
      <c r="L166" s="66">
        <f t="shared" si="32"/>
        <v>0</v>
      </c>
      <c r="M166" s="67">
        <f t="shared" si="31"/>
        <v>590</v>
      </c>
      <c r="N166" s="66">
        <f t="shared" si="32"/>
        <v>0</v>
      </c>
      <c r="O166" s="67">
        <f t="shared" si="27"/>
        <v>590</v>
      </c>
    </row>
    <row r="167" spans="1:15" s="107" customFormat="1" x14ac:dyDescent="0.2">
      <c r="A167" s="64" t="str">
        <f ca="1">IF(ISERROR(MATCH(F167,Код_КВР,0)),"",INDIRECT(ADDRESS(MATCH(F167,Код_КВР,0)+1,2,,,"КВР")))</f>
        <v>Субсидии бюджетным учреждениям</v>
      </c>
      <c r="B167" s="26">
        <v>801</v>
      </c>
      <c r="C167" s="65" t="s">
        <v>72</v>
      </c>
      <c r="D167" s="65" t="s">
        <v>76</v>
      </c>
      <c r="E167" s="26" t="s">
        <v>379</v>
      </c>
      <c r="F167" s="26">
        <v>610</v>
      </c>
      <c r="G167" s="66">
        <v>590</v>
      </c>
      <c r="H167" s="67"/>
      <c r="I167" s="67">
        <f t="shared" si="29"/>
        <v>590</v>
      </c>
      <c r="J167" s="66"/>
      <c r="K167" s="67">
        <f t="shared" si="30"/>
        <v>590</v>
      </c>
      <c r="L167" s="66"/>
      <c r="M167" s="67">
        <f t="shared" si="31"/>
        <v>590</v>
      </c>
      <c r="N167" s="66"/>
      <c r="O167" s="67">
        <f t="shared" si="27"/>
        <v>590</v>
      </c>
    </row>
    <row r="168" spans="1:15" s="107" customFormat="1" ht="33" x14ac:dyDescent="0.2">
      <c r="A168" s="64" t="str">
        <f ca="1">IF(ISERROR(MATCH(E168,Код_КЦСР,0)),"",INDIRECT(ADDRESS(MATCH(E168,Код_КЦСР,0)+1,2,,,"КЦСР")))</f>
        <v>Организация и проведение обучения должностных лиц и специалистов ГО и ЧС</v>
      </c>
      <c r="B168" s="26">
        <v>801</v>
      </c>
      <c r="C168" s="65" t="s">
        <v>72</v>
      </c>
      <c r="D168" s="65" t="s">
        <v>76</v>
      </c>
      <c r="E168" s="26" t="s">
        <v>380</v>
      </c>
      <c r="F168" s="26"/>
      <c r="G168" s="66">
        <f>G169+G171</f>
        <v>594</v>
      </c>
      <c r="H168" s="66">
        <f>H169+H171</f>
        <v>0</v>
      </c>
      <c r="I168" s="67">
        <f t="shared" si="29"/>
        <v>594</v>
      </c>
      <c r="J168" s="66">
        <f>J169+J171</f>
        <v>0</v>
      </c>
      <c r="K168" s="67">
        <f t="shared" si="30"/>
        <v>594</v>
      </c>
      <c r="L168" s="66">
        <f>L169+L171</f>
        <v>0</v>
      </c>
      <c r="M168" s="67">
        <f t="shared" si="31"/>
        <v>594</v>
      </c>
      <c r="N168" s="66">
        <f>N169+N171</f>
        <v>0</v>
      </c>
      <c r="O168" s="67">
        <f t="shared" si="27"/>
        <v>594</v>
      </c>
    </row>
    <row r="169" spans="1:15" s="107" customFormat="1" ht="49.5" x14ac:dyDescent="0.2">
      <c r="A169" s="64" t="str">
        <f ca="1">IF(ISERROR(MATCH(F169,Код_КВР,0)),"",INDIRECT(ADDRESS(MATCH(F169,Код_КВР,0)+1,2,,,"КВР")))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9" s="26">
        <v>801</v>
      </c>
      <c r="C169" s="65" t="s">
        <v>72</v>
      </c>
      <c r="D169" s="65" t="s">
        <v>76</v>
      </c>
      <c r="E169" s="26" t="s">
        <v>380</v>
      </c>
      <c r="F169" s="26">
        <v>100</v>
      </c>
      <c r="G169" s="66">
        <f>G170</f>
        <v>565</v>
      </c>
      <c r="H169" s="66">
        <f>H170</f>
        <v>0</v>
      </c>
      <c r="I169" s="67">
        <f t="shared" si="29"/>
        <v>565</v>
      </c>
      <c r="J169" s="66">
        <f>J170</f>
        <v>0</v>
      </c>
      <c r="K169" s="67">
        <f t="shared" si="30"/>
        <v>565</v>
      </c>
      <c r="L169" s="66">
        <f>L170</f>
        <v>0</v>
      </c>
      <c r="M169" s="67">
        <f t="shared" si="31"/>
        <v>565</v>
      </c>
      <c r="N169" s="66">
        <f>N170</f>
        <v>0</v>
      </c>
      <c r="O169" s="67">
        <f t="shared" si="27"/>
        <v>565</v>
      </c>
    </row>
    <row r="170" spans="1:15" s="107" customFormat="1" x14ac:dyDescent="0.2">
      <c r="A170" s="64" t="str">
        <f ca="1">IF(ISERROR(MATCH(F170,Код_КВР,0)),"",INDIRECT(ADDRESS(MATCH(F170,Код_КВР,0)+1,2,,,"КВР")))</f>
        <v>Расходы на выплаты персоналу казенных учреждений</v>
      </c>
      <c r="B170" s="26">
        <v>801</v>
      </c>
      <c r="C170" s="65" t="s">
        <v>72</v>
      </c>
      <c r="D170" s="65" t="s">
        <v>76</v>
      </c>
      <c r="E170" s="26" t="s">
        <v>380</v>
      </c>
      <c r="F170" s="26">
        <v>110</v>
      </c>
      <c r="G170" s="66">
        <f>402+42+121</f>
        <v>565</v>
      </c>
      <c r="H170" s="67"/>
      <c r="I170" s="67">
        <f t="shared" si="29"/>
        <v>565</v>
      </c>
      <c r="J170" s="66"/>
      <c r="K170" s="67">
        <f t="shared" si="30"/>
        <v>565</v>
      </c>
      <c r="L170" s="66"/>
      <c r="M170" s="67">
        <f t="shared" si="31"/>
        <v>565</v>
      </c>
      <c r="N170" s="66"/>
      <c r="O170" s="67">
        <f t="shared" si="27"/>
        <v>565</v>
      </c>
    </row>
    <row r="171" spans="1:15" s="107" customFormat="1" ht="33" x14ac:dyDescent="0.2">
      <c r="A171" s="64" t="str">
        <f ca="1">IF(ISERROR(MATCH(F171,Код_КВР,0)),"",INDIRECT(ADDRESS(MATCH(F171,Код_КВР,0)+1,2,,,"КВР")))</f>
        <v>Закупка товаров, работ и услуг для обеспечения государственных (муниципальных) нужд</v>
      </c>
      <c r="B171" s="26">
        <v>801</v>
      </c>
      <c r="C171" s="65" t="s">
        <v>72</v>
      </c>
      <c r="D171" s="65" t="s">
        <v>76</v>
      </c>
      <c r="E171" s="26" t="s">
        <v>380</v>
      </c>
      <c r="F171" s="26">
        <v>200</v>
      </c>
      <c r="G171" s="66">
        <f>G172</f>
        <v>29</v>
      </c>
      <c r="H171" s="66">
        <f>H172</f>
        <v>0</v>
      </c>
      <c r="I171" s="67">
        <f t="shared" si="29"/>
        <v>29</v>
      </c>
      <c r="J171" s="66">
        <f>J172</f>
        <v>0</v>
      </c>
      <c r="K171" s="67">
        <f t="shared" si="30"/>
        <v>29</v>
      </c>
      <c r="L171" s="66">
        <f>L172</f>
        <v>0</v>
      </c>
      <c r="M171" s="67">
        <f t="shared" si="31"/>
        <v>29</v>
      </c>
      <c r="N171" s="66">
        <f>N172</f>
        <v>0</v>
      </c>
      <c r="O171" s="67">
        <f t="shared" si="27"/>
        <v>29</v>
      </c>
    </row>
    <row r="172" spans="1:15" s="107" customFormat="1" ht="33" x14ac:dyDescent="0.2">
      <c r="A172" s="64" t="str">
        <f ca="1">IF(ISERROR(MATCH(F172,Код_КВР,0)),"",INDIRECT(ADDRESS(MATCH(F172,Код_КВР,0)+1,2,,,"КВР")))</f>
        <v>Иные закупки товаров, работ и услуг для обеспечения государственных (муниципальных) нужд</v>
      </c>
      <c r="B172" s="26">
        <v>801</v>
      </c>
      <c r="C172" s="65" t="s">
        <v>72</v>
      </c>
      <c r="D172" s="65" t="s">
        <v>76</v>
      </c>
      <c r="E172" s="26" t="s">
        <v>380</v>
      </c>
      <c r="F172" s="26">
        <v>240</v>
      </c>
      <c r="G172" s="66">
        <v>29</v>
      </c>
      <c r="H172" s="67"/>
      <c r="I172" s="67">
        <f t="shared" si="29"/>
        <v>29</v>
      </c>
      <c r="J172" s="66"/>
      <c r="K172" s="67">
        <f t="shared" si="30"/>
        <v>29</v>
      </c>
      <c r="L172" s="66"/>
      <c r="M172" s="67">
        <f t="shared" si="31"/>
        <v>29</v>
      </c>
      <c r="N172" s="66"/>
      <c r="O172" s="67">
        <f t="shared" si="27"/>
        <v>29</v>
      </c>
    </row>
    <row r="173" spans="1:15" s="107" customFormat="1" ht="33" x14ac:dyDescent="0.2">
      <c r="A173" s="64" t="str">
        <f ca="1">IF(ISERROR(MATCH(E173,Код_КЦСР,0)),"",INDIRECT(ADDRESS(MATCH(E173,Код_КЦСР,0)+1,2,,,"КЦСР")))</f>
        <v>Построение и развитие аппаратно-программного комплекса «Безопасный город» на территории города Череповца</v>
      </c>
      <c r="B173" s="26">
        <v>801</v>
      </c>
      <c r="C173" s="65" t="s">
        <v>72</v>
      </c>
      <c r="D173" s="65" t="s">
        <v>76</v>
      </c>
      <c r="E173" s="26" t="s">
        <v>459</v>
      </c>
      <c r="F173" s="26"/>
      <c r="G173" s="66">
        <f t="shared" ref="G173:N175" si="33">G174</f>
        <v>1854.2</v>
      </c>
      <c r="H173" s="66">
        <f t="shared" si="33"/>
        <v>0</v>
      </c>
      <c r="I173" s="67">
        <f t="shared" si="29"/>
        <v>1854.2</v>
      </c>
      <c r="J173" s="66">
        <f t="shared" si="33"/>
        <v>0</v>
      </c>
      <c r="K173" s="67">
        <f t="shared" si="30"/>
        <v>1854.2</v>
      </c>
      <c r="L173" s="66">
        <f t="shared" si="33"/>
        <v>0</v>
      </c>
      <c r="M173" s="67">
        <f t="shared" si="31"/>
        <v>1854.2</v>
      </c>
      <c r="N173" s="66">
        <f t="shared" si="33"/>
        <v>0</v>
      </c>
      <c r="O173" s="67">
        <f t="shared" si="27"/>
        <v>1854.2</v>
      </c>
    </row>
    <row r="174" spans="1:15" s="107" customFormat="1" ht="53.25" customHeight="1" x14ac:dyDescent="0.2">
      <c r="A174" s="52" t="str">
        <f ca="1">IF(ISERROR(MATCH(E174,Код_КЦСР,0)),"",INDIRECT(ADDRESS(MATCH(E174,Код_КЦСР,0)+1,2,,,"КЦСР")))</f>
        <v>Выполнение мероприятий по созданию (реконструкции) и содержанию комплексной системы экстренного оповещения населения об угрозе возникновения или о возникновении чрезвычайных ситуаций</v>
      </c>
      <c r="B174" s="25">
        <v>801</v>
      </c>
      <c r="C174" s="87" t="s">
        <v>72</v>
      </c>
      <c r="D174" s="87" t="s">
        <v>76</v>
      </c>
      <c r="E174" s="25" t="s">
        <v>461</v>
      </c>
      <c r="F174" s="25"/>
      <c r="G174" s="88">
        <f t="shared" si="33"/>
        <v>1854.2</v>
      </c>
      <c r="H174" s="88">
        <f t="shared" si="33"/>
        <v>0</v>
      </c>
      <c r="I174" s="67">
        <f t="shared" si="29"/>
        <v>1854.2</v>
      </c>
      <c r="J174" s="88">
        <f t="shared" si="33"/>
        <v>0</v>
      </c>
      <c r="K174" s="67">
        <f t="shared" si="30"/>
        <v>1854.2</v>
      </c>
      <c r="L174" s="88">
        <f t="shared" si="33"/>
        <v>0</v>
      </c>
      <c r="M174" s="67">
        <f t="shared" si="31"/>
        <v>1854.2</v>
      </c>
      <c r="N174" s="88">
        <f t="shared" si="33"/>
        <v>0</v>
      </c>
      <c r="O174" s="67">
        <f t="shared" si="27"/>
        <v>1854.2</v>
      </c>
    </row>
    <row r="175" spans="1:15" s="107" customFormat="1" ht="37.5" customHeight="1" x14ac:dyDescent="0.2">
      <c r="A175" s="52" t="str">
        <f ca="1">IF(ISERROR(MATCH(F175,Код_КВР,0)),"",INDIRECT(ADDRESS(MATCH(F175,Код_КВР,0)+1,2,,,"КВР")))</f>
        <v>Закупка товаров, работ и услуг для обеспечения государственных (муниципальных) нужд</v>
      </c>
      <c r="B175" s="25">
        <v>801</v>
      </c>
      <c r="C175" s="87" t="s">
        <v>72</v>
      </c>
      <c r="D175" s="87" t="s">
        <v>76</v>
      </c>
      <c r="E175" s="25" t="s">
        <v>461</v>
      </c>
      <c r="F175" s="25">
        <v>200</v>
      </c>
      <c r="G175" s="88">
        <f t="shared" si="33"/>
        <v>1854.2</v>
      </c>
      <c r="H175" s="88">
        <f t="shared" si="33"/>
        <v>0</v>
      </c>
      <c r="I175" s="67">
        <f t="shared" si="29"/>
        <v>1854.2</v>
      </c>
      <c r="J175" s="88">
        <f t="shared" si="33"/>
        <v>0</v>
      </c>
      <c r="K175" s="67">
        <f t="shared" si="30"/>
        <v>1854.2</v>
      </c>
      <c r="L175" s="88">
        <f t="shared" si="33"/>
        <v>0</v>
      </c>
      <c r="M175" s="67">
        <f t="shared" si="31"/>
        <v>1854.2</v>
      </c>
      <c r="N175" s="88">
        <f t="shared" si="33"/>
        <v>0</v>
      </c>
      <c r="O175" s="67">
        <f t="shared" si="27"/>
        <v>1854.2</v>
      </c>
    </row>
    <row r="176" spans="1:15" s="107" customFormat="1" ht="39" customHeight="1" x14ac:dyDescent="0.2">
      <c r="A176" s="52" t="str">
        <f ca="1">IF(ISERROR(MATCH(F176,Код_КВР,0)),"",INDIRECT(ADDRESS(MATCH(F176,Код_КВР,0)+1,2,,,"КВР")))</f>
        <v>Иные закупки товаров, работ и услуг для обеспечения государственных (муниципальных) нужд</v>
      </c>
      <c r="B176" s="25">
        <v>801</v>
      </c>
      <c r="C176" s="87" t="s">
        <v>72</v>
      </c>
      <c r="D176" s="87" t="s">
        <v>76</v>
      </c>
      <c r="E176" s="25" t="s">
        <v>461</v>
      </c>
      <c r="F176" s="25">
        <v>240</v>
      </c>
      <c r="G176" s="88">
        <v>1854.2</v>
      </c>
      <c r="H176" s="67"/>
      <c r="I176" s="67">
        <f t="shared" si="29"/>
        <v>1854.2</v>
      </c>
      <c r="J176" s="88"/>
      <c r="K176" s="67">
        <f t="shared" si="30"/>
        <v>1854.2</v>
      </c>
      <c r="L176" s="88"/>
      <c r="M176" s="67">
        <f t="shared" si="31"/>
        <v>1854.2</v>
      </c>
      <c r="N176" s="88"/>
      <c r="O176" s="67">
        <f t="shared" si="27"/>
        <v>1854.2</v>
      </c>
    </row>
    <row r="177" spans="1:15" s="107" customFormat="1" ht="33" x14ac:dyDescent="0.2">
      <c r="A177" s="52" t="str">
        <f ca="1">IF(ISERROR(MATCH(E177,Код_КЦСР,0)),"",INDIRECT(ADDRESS(MATCH(E177,Код_КЦСР,0)+1,2,,,"КЦСР")))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177" s="25">
        <v>801</v>
      </c>
      <c r="C177" s="87" t="s">
        <v>72</v>
      </c>
      <c r="D177" s="87" t="s">
        <v>76</v>
      </c>
      <c r="E177" s="25" t="s">
        <v>395</v>
      </c>
      <c r="F177" s="25"/>
      <c r="G177" s="88">
        <f>G178</f>
        <v>10155.6</v>
      </c>
      <c r="H177" s="88">
        <f>H178</f>
        <v>0</v>
      </c>
      <c r="I177" s="67">
        <f t="shared" si="29"/>
        <v>10155.6</v>
      </c>
      <c r="J177" s="88">
        <f>J178</f>
        <v>0</v>
      </c>
      <c r="K177" s="67">
        <f t="shared" si="30"/>
        <v>10155.6</v>
      </c>
      <c r="L177" s="88">
        <f>L178</f>
        <v>0</v>
      </c>
      <c r="M177" s="67">
        <f t="shared" si="31"/>
        <v>10155.6</v>
      </c>
      <c r="N177" s="88">
        <f>N178</f>
        <v>0</v>
      </c>
      <c r="O177" s="67">
        <f t="shared" si="27"/>
        <v>10155.6</v>
      </c>
    </row>
    <row r="178" spans="1:15" s="107" customFormat="1" x14ac:dyDescent="0.2">
      <c r="A178" s="52" t="str">
        <f ca="1">IF(ISERROR(MATCH(E178,Код_КЦСР,0)),"",INDIRECT(ADDRESS(MATCH(E178,Код_КЦСР,0)+1,2,,,"КЦСР")))</f>
        <v>Профилактика преступлений и иных правонарушений в городе Череповце</v>
      </c>
      <c r="B178" s="25">
        <v>801</v>
      </c>
      <c r="C178" s="87" t="s">
        <v>72</v>
      </c>
      <c r="D178" s="87" t="s">
        <v>76</v>
      </c>
      <c r="E178" s="25" t="s">
        <v>397</v>
      </c>
      <c r="F178" s="25"/>
      <c r="G178" s="88">
        <f>G179</f>
        <v>10155.6</v>
      </c>
      <c r="H178" s="88">
        <f>H179</f>
        <v>0</v>
      </c>
      <c r="I178" s="67">
        <f t="shared" si="29"/>
        <v>10155.6</v>
      </c>
      <c r="J178" s="88">
        <f>J179</f>
        <v>0</v>
      </c>
      <c r="K178" s="67">
        <f t="shared" si="30"/>
        <v>10155.6</v>
      </c>
      <c r="L178" s="88">
        <f>L179</f>
        <v>0</v>
      </c>
      <c r="M178" s="67">
        <f t="shared" si="31"/>
        <v>10155.6</v>
      </c>
      <c r="N178" s="88">
        <f>N179</f>
        <v>0</v>
      </c>
      <c r="O178" s="67">
        <f t="shared" si="27"/>
        <v>10155.6</v>
      </c>
    </row>
    <row r="179" spans="1:15" s="107" customFormat="1" x14ac:dyDescent="0.2">
      <c r="A179" s="52" t="str">
        <f ca="1">IF(ISERROR(MATCH(E179,Код_КЦСР,0)),"",INDIRECT(ADDRESS(MATCH(E179,Код_КЦСР,0)+1,2,,,"КЦСР")))</f>
        <v>Привлечение общественности к охране общественного порядка</v>
      </c>
      <c r="B179" s="25">
        <v>801</v>
      </c>
      <c r="C179" s="87" t="s">
        <v>72</v>
      </c>
      <c r="D179" s="87" t="s">
        <v>76</v>
      </c>
      <c r="E179" s="25" t="s">
        <v>398</v>
      </c>
      <c r="F179" s="25"/>
      <c r="G179" s="88">
        <f>G180+G182+G184</f>
        <v>10155.6</v>
      </c>
      <c r="H179" s="88">
        <f>H180+H182+H184</f>
        <v>0</v>
      </c>
      <c r="I179" s="67">
        <f t="shared" si="29"/>
        <v>10155.6</v>
      </c>
      <c r="J179" s="88">
        <f>J180+J182+J184</f>
        <v>0</v>
      </c>
      <c r="K179" s="67">
        <f t="shared" si="30"/>
        <v>10155.6</v>
      </c>
      <c r="L179" s="88">
        <f>L180+L182+L184</f>
        <v>0</v>
      </c>
      <c r="M179" s="67">
        <f t="shared" si="31"/>
        <v>10155.6</v>
      </c>
      <c r="N179" s="88">
        <f>N180+N182+N184</f>
        <v>0</v>
      </c>
      <c r="O179" s="67">
        <f t="shared" si="27"/>
        <v>10155.6</v>
      </c>
    </row>
    <row r="180" spans="1:15" s="107" customFormat="1" ht="49.5" x14ac:dyDescent="0.2">
      <c r="A180" s="52" t="str">
        <f t="shared" ref="A180:A185" ca="1" si="34">IF(ISERROR(MATCH(F180,Код_КВР,0)),"",INDIRECT(ADDRESS(MATCH(F180,Код_КВР,0)+1,2,,,"КВР")))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0" s="25">
        <v>801</v>
      </c>
      <c r="C180" s="87" t="s">
        <v>72</v>
      </c>
      <c r="D180" s="87" t="s">
        <v>76</v>
      </c>
      <c r="E180" s="25" t="s">
        <v>398</v>
      </c>
      <c r="F180" s="25">
        <v>100</v>
      </c>
      <c r="G180" s="88">
        <f>G181</f>
        <v>7767</v>
      </c>
      <c r="H180" s="88">
        <f>H181</f>
        <v>0</v>
      </c>
      <c r="I180" s="67">
        <f t="shared" si="29"/>
        <v>7767</v>
      </c>
      <c r="J180" s="88">
        <f>J181</f>
        <v>0</v>
      </c>
      <c r="K180" s="67">
        <f t="shared" si="30"/>
        <v>7767</v>
      </c>
      <c r="L180" s="88">
        <f>L181</f>
        <v>0</v>
      </c>
      <c r="M180" s="67">
        <f t="shared" si="31"/>
        <v>7767</v>
      </c>
      <c r="N180" s="88">
        <f>N181</f>
        <v>0</v>
      </c>
      <c r="O180" s="67">
        <f t="shared" si="27"/>
        <v>7767</v>
      </c>
    </row>
    <row r="181" spans="1:15" s="107" customFormat="1" x14ac:dyDescent="0.2">
      <c r="A181" s="64" t="str">
        <f t="shared" ca="1" si="34"/>
        <v>Расходы на выплаты персоналу казенных учреждений</v>
      </c>
      <c r="B181" s="26">
        <v>801</v>
      </c>
      <c r="C181" s="65" t="s">
        <v>72</v>
      </c>
      <c r="D181" s="65" t="s">
        <v>76</v>
      </c>
      <c r="E181" s="26" t="s">
        <v>398</v>
      </c>
      <c r="F181" s="26">
        <v>110</v>
      </c>
      <c r="G181" s="66">
        <f>5965.4+1801.6</f>
        <v>7767</v>
      </c>
      <c r="H181" s="67"/>
      <c r="I181" s="67">
        <f t="shared" si="29"/>
        <v>7767</v>
      </c>
      <c r="J181" s="66"/>
      <c r="K181" s="67">
        <f t="shared" si="30"/>
        <v>7767</v>
      </c>
      <c r="L181" s="66"/>
      <c r="M181" s="67">
        <f t="shared" si="31"/>
        <v>7767</v>
      </c>
      <c r="N181" s="66"/>
      <c r="O181" s="67">
        <f t="shared" si="27"/>
        <v>7767</v>
      </c>
    </row>
    <row r="182" spans="1:15" s="107" customFormat="1" ht="33" x14ac:dyDescent="0.2">
      <c r="A182" s="73" t="str">
        <f t="shared" ca="1" si="34"/>
        <v>Закупка товаров, работ и услуг для обеспечения государственных (муниципальных) нужд</v>
      </c>
      <c r="B182" s="26">
        <v>801</v>
      </c>
      <c r="C182" s="65" t="s">
        <v>72</v>
      </c>
      <c r="D182" s="65" t="s">
        <v>76</v>
      </c>
      <c r="E182" s="26" t="s">
        <v>398</v>
      </c>
      <c r="F182" s="26">
        <v>200</v>
      </c>
      <c r="G182" s="66">
        <f>G183</f>
        <v>2172.4</v>
      </c>
      <c r="H182" s="66">
        <f>H183</f>
        <v>0</v>
      </c>
      <c r="I182" s="67">
        <f t="shared" si="29"/>
        <v>2172.4</v>
      </c>
      <c r="J182" s="66">
        <f>J183</f>
        <v>0</v>
      </c>
      <c r="K182" s="67">
        <f t="shared" si="30"/>
        <v>2172.4</v>
      </c>
      <c r="L182" s="66">
        <f>L183</f>
        <v>0</v>
      </c>
      <c r="M182" s="67">
        <f t="shared" si="31"/>
        <v>2172.4</v>
      </c>
      <c r="N182" s="66">
        <f>N183</f>
        <v>0</v>
      </c>
      <c r="O182" s="67">
        <f t="shared" si="27"/>
        <v>2172.4</v>
      </c>
    </row>
    <row r="183" spans="1:15" s="107" customFormat="1" ht="33" x14ac:dyDescent="0.2">
      <c r="A183" s="64" t="str">
        <f t="shared" ca="1" si="34"/>
        <v>Иные закупки товаров, работ и услуг для обеспечения государственных (муниципальных) нужд</v>
      </c>
      <c r="B183" s="26">
        <v>801</v>
      </c>
      <c r="C183" s="65" t="s">
        <v>72</v>
      </c>
      <c r="D183" s="65" t="s">
        <v>76</v>
      </c>
      <c r="E183" s="26" t="s">
        <v>398</v>
      </c>
      <c r="F183" s="26">
        <v>240</v>
      </c>
      <c r="G183" s="66">
        <v>2172.4</v>
      </c>
      <c r="H183" s="67"/>
      <c r="I183" s="67">
        <f t="shared" si="29"/>
        <v>2172.4</v>
      </c>
      <c r="J183" s="66"/>
      <c r="K183" s="67">
        <f t="shared" si="30"/>
        <v>2172.4</v>
      </c>
      <c r="L183" s="66"/>
      <c r="M183" s="67">
        <f t="shared" si="31"/>
        <v>2172.4</v>
      </c>
      <c r="N183" s="66"/>
      <c r="O183" s="67">
        <f t="shared" si="27"/>
        <v>2172.4</v>
      </c>
    </row>
    <row r="184" spans="1:15" s="107" customFormat="1" x14ac:dyDescent="0.2">
      <c r="A184" s="64" t="str">
        <f t="shared" ca="1" si="34"/>
        <v>Иные бюджетные ассигнования</v>
      </c>
      <c r="B184" s="26">
        <v>801</v>
      </c>
      <c r="C184" s="65" t="s">
        <v>72</v>
      </c>
      <c r="D184" s="65" t="s">
        <v>76</v>
      </c>
      <c r="E184" s="26" t="s">
        <v>398</v>
      </c>
      <c r="F184" s="26">
        <v>800</v>
      </c>
      <c r="G184" s="66">
        <f t="shared" ref="G184:N184" si="35">G185</f>
        <v>216.2</v>
      </c>
      <c r="H184" s="66">
        <f t="shared" si="35"/>
        <v>0</v>
      </c>
      <c r="I184" s="67">
        <f t="shared" si="29"/>
        <v>216.2</v>
      </c>
      <c r="J184" s="66">
        <f t="shared" si="35"/>
        <v>0</v>
      </c>
      <c r="K184" s="67">
        <f t="shared" si="30"/>
        <v>216.2</v>
      </c>
      <c r="L184" s="66">
        <f t="shared" si="35"/>
        <v>0</v>
      </c>
      <c r="M184" s="67">
        <f t="shared" si="31"/>
        <v>216.2</v>
      </c>
      <c r="N184" s="66">
        <f t="shared" si="35"/>
        <v>0</v>
      </c>
      <c r="O184" s="67">
        <f t="shared" si="27"/>
        <v>216.2</v>
      </c>
    </row>
    <row r="185" spans="1:15" s="107" customFormat="1" x14ac:dyDescent="0.2">
      <c r="A185" s="64" t="str">
        <f t="shared" ca="1" si="34"/>
        <v>Уплата налогов, сборов и иных платежей</v>
      </c>
      <c r="B185" s="26">
        <v>801</v>
      </c>
      <c r="C185" s="65" t="s">
        <v>72</v>
      </c>
      <c r="D185" s="65" t="s">
        <v>76</v>
      </c>
      <c r="E185" s="26" t="s">
        <v>398</v>
      </c>
      <c r="F185" s="26">
        <v>850</v>
      </c>
      <c r="G185" s="66">
        <v>216.2</v>
      </c>
      <c r="H185" s="67"/>
      <c r="I185" s="67">
        <f t="shared" si="29"/>
        <v>216.2</v>
      </c>
      <c r="J185" s="66"/>
      <c r="K185" s="67">
        <f t="shared" si="30"/>
        <v>216.2</v>
      </c>
      <c r="L185" s="66"/>
      <c r="M185" s="67">
        <f t="shared" si="31"/>
        <v>216.2</v>
      </c>
      <c r="N185" s="66"/>
      <c r="O185" s="67">
        <f t="shared" si="27"/>
        <v>216.2</v>
      </c>
    </row>
    <row r="186" spans="1:15" s="107" customFormat="1" x14ac:dyDescent="0.2">
      <c r="A186" s="64" t="str">
        <f ca="1">IF(ISERROR(MATCH(C186,Код_Раздел,0)),"",INDIRECT(ADDRESS(MATCH(C186,Код_Раздел,0)+1,2,,,"Раздел")))</f>
        <v>Национальная экономика</v>
      </c>
      <c r="B186" s="26">
        <v>801</v>
      </c>
      <c r="C186" s="65" t="s">
        <v>73</v>
      </c>
      <c r="D186" s="65"/>
      <c r="E186" s="26"/>
      <c r="F186" s="26"/>
      <c r="G186" s="66">
        <f>G187+G194+G228</f>
        <v>72704.099999999991</v>
      </c>
      <c r="H186" s="66">
        <f>H187+H194+H228</f>
        <v>7140.4</v>
      </c>
      <c r="I186" s="67">
        <f t="shared" si="29"/>
        <v>79844.499999999985</v>
      </c>
      <c r="J186" s="66">
        <f>J187+J194+J228</f>
        <v>0</v>
      </c>
      <c r="K186" s="67">
        <f t="shared" si="30"/>
        <v>79844.499999999985</v>
      </c>
      <c r="L186" s="66">
        <f>L187+L194+L228</f>
        <v>1264.5999999999999</v>
      </c>
      <c r="M186" s="67">
        <f t="shared" si="31"/>
        <v>81109.099999999991</v>
      </c>
      <c r="N186" s="66">
        <f>N187+N194+N228</f>
        <v>0</v>
      </c>
      <c r="O186" s="67">
        <f t="shared" si="27"/>
        <v>81109.099999999991</v>
      </c>
    </row>
    <row r="187" spans="1:15" s="107" customFormat="1" x14ac:dyDescent="0.2">
      <c r="A187" s="64" t="s">
        <v>65</v>
      </c>
      <c r="B187" s="26">
        <v>801</v>
      </c>
      <c r="C187" s="65" t="s">
        <v>73</v>
      </c>
      <c r="D187" s="65" t="s">
        <v>70</v>
      </c>
      <c r="E187" s="26"/>
      <c r="F187" s="26"/>
      <c r="G187" s="66">
        <f>G188</f>
        <v>1680.3</v>
      </c>
      <c r="H187" s="66">
        <f>H188</f>
        <v>0</v>
      </c>
      <c r="I187" s="67">
        <f t="shared" si="29"/>
        <v>1680.3</v>
      </c>
      <c r="J187" s="66">
        <f>J188</f>
        <v>0</v>
      </c>
      <c r="K187" s="67">
        <f t="shared" si="30"/>
        <v>1680.3</v>
      </c>
      <c r="L187" s="66">
        <f>L188</f>
        <v>0</v>
      </c>
      <c r="M187" s="67">
        <f t="shared" si="31"/>
        <v>1680.3</v>
      </c>
      <c r="N187" s="66">
        <f>N188</f>
        <v>0</v>
      </c>
      <c r="O187" s="67">
        <f t="shared" si="27"/>
        <v>1680.3</v>
      </c>
    </row>
    <row r="188" spans="1:15" s="107" customFormat="1" ht="33" x14ac:dyDescent="0.2">
      <c r="A188" s="64" t="str">
        <f ca="1">IF(ISERROR(MATCH(E188,Код_КЦСР,0)),"",INDIRECT(ADDRESS(MATCH(E188,Код_КЦСР,0)+1,2,,,"КЦСР")))</f>
        <v>Муниципальная программа «Развитие молодежной политики» на 2013 – 2020 годы</v>
      </c>
      <c r="B188" s="26">
        <v>801</v>
      </c>
      <c r="C188" s="65" t="s">
        <v>73</v>
      </c>
      <c r="D188" s="65" t="s">
        <v>70</v>
      </c>
      <c r="E188" s="26" t="s">
        <v>299</v>
      </c>
      <c r="F188" s="26"/>
      <c r="G188" s="66">
        <f t="shared" ref="G188:N188" si="36">G189</f>
        <v>1680.3</v>
      </c>
      <c r="H188" s="66">
        <f t="shared" si="36"/>
        <v>0</v>
      </c>
      <c r="I188" s="67">
        <f t="shared" si="29"/>
        <v>1680.3</v>
      </c>
      <c r="J188" s="66">
        <f t="shared" si="36"/>
        <v>0</v>
      </c>
      <c r="K188" s="67">
        <f t="shared" si="30"/>
        <v>1680.3</v>
      </c>
      <c r="L188" s="66">
        <f t="shared" si="36"/>
        <v>0</v>
      </c>
      <c r="M188" s="67">
        <f t="shared" si="31"/>
        <v>1680.3</v>
      </c>
      <c r="N188" s="66">
        <f t="shared" si="36"/>
        <v>0</v>
      </c>
      <c r="O188" s="67">
        <f t="shared" si="27"/>
        <v>1680.3</v>
      </c>
    </row>
    <row r="189" spans="1:15" s="107" customFormat="1" ht="33" x14ac:dyDescent="0.2">
      <c r="A189" s="64" t="str">
        <f ca="1">IF(ISERROR(MATCH(E189,Код_КЦСР,0)),"",INDIRECT(ADDRESS(MATCH(E189,Код_КЦСР,0)+1,2,,,"КЦСР")))</f>
        <v>Организация временного трудоустройства несовершеннолетних в возрасте от 14 до 18 лет в свободное от учебы время</v>
      </c>
      <c r="B189" s="26">
        <v>801</v>
      </c>
      <c r="C189" s="65" t="s">
        <v>73</v>
      </c>
      <c r="D189" s="65" t="s">
        <v>70</v>
      </c>
      <c r="E189" s="26" t="s">
        <v>300</v>
      </c>
      <c r="F189" s="26"/>
      <c r="G189" s="66">
        <f>G190+G192</f>
        <v>1680.3</v>
      </c>
      <c r="H189" s="66">
        <f>H190+H192</f>
        <v>0</v>
      </c>
      <c r="I189" s="67">
        <f t="shared" si="29"/>
        <v>1680.3</v>
      </c>
      <c r="J189" s="66">
        <f>J190+J192</f>
        <v>0</v>
      </c>
      <c r="K189" s="67">
        <f t="shared" si="30"/>
        <v>1680.3</v>
      </c>
      <c r="L189" s="66">
        <f>L190+L192</f>
        <v>0</v>
      </c>
      <c r="M189" s="67">
        <f t="shared" si="31"/>
        <v>1680.3</v>
      </c>
      <c r="N189" s="66">
        <f>N190+N192</f>
        <v>0</v>
      </c>
      <c r="O189" s="67">
        <f t="shared" si="27"/>
        <v>1680.3</v>
      </c>
    </row>
    <row r="190" spans="1:15" s="107" customFormat="1" ht="49.5" x14ac:dyDescent="0.2">
      <c r="A190" s="64" t="str">
        <f ca="1">IF(ISERROR(MATCH(F190,Код_КВР,0)),"",INDIRECT(ADDRESS(MATCH(F190,Код_КВР,0)+1,2,,,"КВР")))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0" s="26">
        <v>801</v>
      </c>
      <c r="C190" s="65" t="s">
        <v>73</v>
      </c>
      <c r="D190" s="65" t="s">
        <v>70</v>
      </c>
      <c r="E190" s="26" t="s">
        <v>300</v>
      </c>
      <c r="F190" s="26">
        <v>100</v>
      </c>
      <c r="G190" s="66">
        <f>G191</f>
        <v>1680.3</v>
      </c>
      <c r="H190" s="66">
        <f>H191</f>
        <v>0</v>
      </c>
      <c r="I190" s="67">
        <f t="shared" si="29"/>
        <v>1680.3</v>
      </c>
      <c r="J190" s="66">
        <f>J191</f>
        <v>0</v>
      </c>
      <c r="K190" s="67">
        <f t="shared" si="30"/>
        <v>1680.3</v>
      </c>
      <c r="L190" s="66">
        <f>L191</f>
        <v>0</v>
      </c>
      <c r="M190" s="67">
        <f t="shared" si="31"/>
        <v>1680.3</v>
      </c>
      <c r="N190" s="66">
        <f>N191</f>
        <v>0</v>
      </c>
      <c r="O190" s="67">
        <f t="shared" si="27"/>
        <v>1680.3</v>
      </c>
    </row>
    <row r="191" spans="1:15" s="107" customFormat="1" x14ac:dyDescent="0.2">
      <c r="A191" s="64" t="str">
        <f ca="1">IF(ISERROR(MATCH(F191,Код_КВР,0)),"",INDIRECT(ADDRESS(MATCH(F191,Код_КВР,0)+1,2,,,"КВР")))</f>
        <v>Расходы на выплаты персоналу казенных учреждений</v>
      </c>
      <c r="B191" s="26">
        <v>801</v>
      </c>
      <c r="C191" s="65" t="s">
        <v>73</v>
      </c>
      <c r="D191" s="65" t="s">
        <v>70</v>
      </c>
      <c r="E191" s="26" t="s">
        <v>300</v>
      </c>
      <c r="F191" s="26">
        <v>110</v>
      </c>
      <c r="G191" s="66">
        <f>1290.6+389.7</f>
        <v>1680.3</v>
      </c>
      <c r="H191" s="67"/>
      <c r="I191" s="67">
        <f t="shared" si="29"/>
        <v>1680.3</v>
      </c>
      <c r="J191" s="66"/>
      <c r="K191" s="67">
        <f t="shared" si="30"/>
        <v>1680.3</v>
      </c>
      <c r="L191" s="66"/>
      <c r="M191" s="67">
        <f t="shared" si="31"/>
        <v>1680.3</v>
      </c>
      <c r="N191" s="66"/>
      <c r="O191" s="67">
        <f t="shared" si="27"/>
        <v>1680.3</v>
      </c>
    </row>
    <row r="192" spans="1:15" s="107" customFormat="1" ht="33" hidden="1" x14ac:dyDescent="0.2">
      <c r="A192" s="64" t="str">
        <f ca="1">IF(ISERROR(MATCH(F192,Код_КВР,0)),"",INDIRECT(ADDRESS(MATCH(F192,Код_КВР,0)+1,2,,,"КВР")))</f>
        <v>Закупка товаров, работ и услуг для обеспечения государственных (муниципальных) нужд</v>
      </c>
      <c r="B192" s="26">
        <v>801</v>
      </c>
      <c r="C192" s="65" t="s">
        <v>73</v>
      </c>
      <c r="D192" s="65" t="s">
        <v>70</v>
      </c>
      <c r="E192" s="26" t="s">
        <v>300</v>
      </c>
      <c r="F192" s="26">
        <v>200</v>
      </c>
      <c r="G192" s="66">
        <f>G193</f>
        <v>0</v>
      </c>
      <c r="H192" s="67"/>
      <c r="I192" s="67">
        <f t="shared" si="29"/>
        <v>0</v>
      </c>
      <c r="J192" s="66">
        <f>J193</f>
        <v>0</v>
      </c>
      <c r="K192" s="67">
        <f t="shared" si="30"/>
        <v>0</v>
      </c>
      <c r="L192" s="66">
        <f>L193</f>
        <v>0</v>
      </c>
      <c r="M192" s="67">
        <f t="shared" si="31"/>
        <v>0</v>
      </c>
      <c r="N192" s="66">
        <f>N193</f>
        <v>0</v>
      </c>
      <c r="O192" s="67">
        <f t="shared" si="27"/>
        <v>0</v>
      </c>
    </row>
    <row r="193" spans="1:15" s="107" customFormat="1" ht="33" hidden="1" x14ac:dyDescent="0.2">
      <c r="A193" s="64" t="str">
        <f ca="1">IF(ISERROR(MATCH(F193,Код_КВР,0)),"",INDIRECT(ADDRESS(MATCH(F193,Код_КВР,0)+1,2,,,"КВР")))</f>
        <v>Иные закупки товаров, работ и услуг для обеспечения государственных (муниципальных) нужд</v>
      </c>
      <c r="B193" s="26">
        <v>801</v>
      </c>
      <c r="C193" s="65" t="s">
        <v>73</v>
      </c>
      <c r="D193" s="65" t="s">
        <v>70</v>
      </c>
      <c r="E193" s="26" t="s">
        <v>300</v>
      </c>
      <c r="F193" s="26">
        <v>240</v>
      </c>
      <c r="G193" s="66"/>
      <c r="H193" s="67"/>
      <c r="I193" s="67">
        <f t="shared" si="29"/>
        <v>0</v>
      </c>
      <c r="J193" s="66"/>
      <c r="K193" s="67">
        <f t="shared" si="30"/>
        <v>0</v>
      </c>
      <c r="L193" s="66"/>
      <c r="M193" s="67">
        <f t="shared" si="31"/>
        <v>0</v>
      </c>
      <c r="N193" s="66"/>
      <c r="O193" s="67">
        <f t="shared" si="27"/>
        <v>0</v>
      </c>
    </row>
    <row r="194" spans="1:15" s="107" customFormat="1" x14ac:dyDescent="0.2">
      <c r="A194" s="74" t="s">
        <v>87</v>
      </c>
      <c r="B194" s="26">
        <v>801</v>
      </c>
      <c r="C194" s="65" t="s">
        <v>73</v>
      </c>
      <c r="D194" s="65" t="s">
        <v>53</v>
      </c>
      <c r="E194" s="26"/>
      <c r="F194" s="26"/>
      <c r="G194" s="66">
        <f>G195+G219+G206+G210</f>
        <v>54288.999999999993</v>
      </c>
      <c r="H194" s="67"/>
      <c r="I194" s="67">
        <f t="shared" si="29"/>
        <v>54288.999999999993</v>
      </c>
      <c r="J194" s="66">
        <f>J195+J219+J206+J210</f>
        <v>0</v>
      </c>
      <c r="K194" s="67">
        <f t="shared" si="30"/>
        <v>54288.999999999993</v>
      </c>
      <c r="L194" s="66">
        <f>L195+L219+L206+L210</f>
        <v>0</v>
      </c>
      <c r="M194" s="67">
        <f t="shared" si="31"/>
        <v>54288.999999999993</v>
      </c>
      <c r="N194" s="66">
        <f>N195+N219+N206+N210</f>
        <v>0</v>
      </c>
      <c r="O194" s="67">
        <f t="shared" si="27"/>
        <v>54288.999999999993</v>
      </c>
    </row>
    <row r="195" spans="1:15" s="107" customFormat="1" ht="33" x14ac:dyDescent="0.2">
      <c r="A195" s="64" t="str">
        <f ca="1">IF(ISERROR(MATCH(E195,Код_КЦСР,0)),"",INDIRECT(ADDRESS(MATCH(E195,Код_КЦСР,0)+1,2,,,"КЦСР")))</f>
        <v>Муниципальная программа «iCity-Современные информационные технологии г. Череповца» на 2014 – 2020 годы</v>
      </c>
      <c r="B195" s="26">
        <v>801</v>
      </c>
      <c r="C195" s="65" t="s">
        <v>73</v>
      </c>
      <c r="D195" s="65" t="s">
        <v>53</v>
      </c>
      <c r="E195" s="26" t="s">
        <v>307</v>
      </c>
      <c r="F195" s="26"/>
      <c r="G195" s="66">
        <f>G196+G199</f>
        <v>45408.299999999996</v>
      </c>
      <c r="H195" s="66">
        <f>H196+H199</f>
        <v>0</v>
      </c>
      <c r="I195" s="67">
        <f t="shared" si="29"/>
        <v>45408.299999999996</v>
      </c>
      <c r="J195" s="66">
        <f>J196+J199</f>
        <v>0</v>
      </c>
      <c r="K195" s="67">
        <f t="shared" si="30"/>
        <v>45408.299999999996</v>
      </c>
      <c r="L195" s="66">
        <f>L196+L199</f>
        <v>0</v>
      </c>
      <c r="M195" s="67">
        <f t="shared" si="31"/>
        <v>45408.299999999996</v>
      </c>
      <c r="N195" s="66">
        <f>N196+N199</f>
        <v>0</v>
      </c>
      <c r="O195" s="67">
        <f t="shared" si="27"/>
        <v>45408.299999999996</v>
      </c>
    </row>
    <row r="196" spans="1:15" s="107" customFormat="1" ht="49.5" x14ac:dyDescent="0.2">
      <c r="A196" s="64" t="str">
        <f ca="1">IF(ISERROR(MATCH(E196,Код_КЦСР,0)),"",INDIRECT(ADDRESS(MATCH(E196,Код_КЦСР,0)+1,2,,,"КЦСР")))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196" s="26">
        <v>801</v>
      </c>
      <c r="C196" s="65" t="s">
        <v>73</v>
      </c>
      <c r="D196" s="65" t="s">
        <v>53</v>
      </c>
      <c r="E196" s="26" t="s">
        <v>309</v>
      </c>
      <c r="F196" s="26"/>
      <c r="G196" s="66">
        <f t="shared" ref="G196:N197" si="37">G197</f>
        <v>811.6</v>
      </c>
      <c r="H196" s="66">
        <f t="shared" si="37"/>
        <v>0</v>
      </c>
      <c r="I196" s="67">
        <f t="shared" si="29"/>
        <v>811.6</v>
      </c>
      <c r="J196" s="66">
        <f t="shared" si="37"/>
        <v>0</v>
      </c>
      <c r="K196" s="67">
        <f t="shared" si="30"/>
        <v>811.6</v>
      </c>
      <c r="L196" s="66">
        <f t="shared" si="37"/>
        <v>0</v>
      </c>
      <c r="M196" s="67">
        <f t="shared" si="31"/>
        <v>811.6</v>
      </c>
      <c r="N196" s="66">
        <f t="shared" si="37"/>
        <v>0</v>
      </c>
      <c r="O196" s="67">
        <f t="shared" si="27"/>
        <v>811.6</v>
      </c>
    </row>
    <row r="197" spans="1:15" s="107" customFormat="1" ht="33" x14ac:dyDescent="0.2">
      <c r="A197" s="64" t="str">
        <f ca="1">IF(ISERROR(MATCH(F197,Код_КВР,0)),"",INDIRECT(ADDRESS(MATCH(F197,Код_КВР,0)+1,2,,,"КВР")))</f>
        <v>Предоставление субсидий бюджетным, автономным учреждениям и иным некоммерческим организациям</v>
      </c>
      <c r="B197" s="26">
        <v>801</v>
      </c>
      <c r="C197" s="65" t="s">
        <v>73</v>
      </c>
      <c r="D197" s="65" t="s">
        <v>53</v>
      </c>
      <c r="E197" s="26" t="s">
        <v>309</v>
      </c>
      <c r="F197" s="26">
        <v>600</v>
      </c>
      <c r="G197" s="66">
        <f t="shared" si="37"/>
        <v>811.6</v>
      </c>
      <c r="H197" s="66">
        <f t="shared" si="37"/>
        <v>0</v>
      </c>
      <c r="I197" s="67">
        <f t="shared" si="29"/>
        <v>811.6</v>
      </c>
      <c r="J197" s="66">
        <f t="shared" si="37"/>
        <v>0</v>
      </c>
      <c r="K197" s="67">
        <f t="shared" si="30"/>
        <v>811.6</v>
      </c>
      <c r="L197" s="66">
        <f t="shared" si="37"/>
        <v>0</v>
      </c>
      <c r="M197" s="67">
        <f t="shared" si="31"/>
        <v>811.6</v>
      </c>
      <c r="N197" s="66">
        <f t="shared" si="37"/>
        <v>0</v>
      </c>
      <c r="O197" s="67">
        <f t="shared" si="27"/>
        <v>811.6</v>
      </c>
    </row>
    <row r="198" spans="1:15" s="107" customFormat="1" x14ac:dyDescent="0.2">
      <c r="A198" s="64" t="str">
        <f ca="1">IF(ISERROR(MATCH(F198,Код_КВР,0)),"",INDIRECT(ADDRESS(MATCH(F198,Код_КВР,0)+1,2,,,"КВР")))</f>
        <v>Субсидии бюджетным учреждениям</v>
      </c>
      <c r="B198" s="26">
        <v>801</v>
      </c>
      <c r="C198" s="65" t="s">
        <v>73</v>
      </c>
      <c r="D198" s="65" t="s">
        <v>53</v>
      </c>
      <c r="E198" s="26" t="s">
        <v>309</v>
      </c>
      <c r="F198" s="26">
        <v>610</v>
      </c>
      <c r="G198" s="66">
        <v>811.6</v>
      </c>
      <c r="H198" s="67"/>
      <c r="I198" s="67">
        <f t="shared" si="29"/>
        <v>811.6</v>
      </c>
      <c r="J198" s="66"/>
      <c r="K198" s="67">
        <f t="shared" si="30"/>
        <v>811.6</v>
      </c>
      <c r="L198" s="66"/>
      <c r="M198" s="67">
        <f t="shared" si="31"/>
        <v>811.6</v>
      </c>
      <c r="N198" s="66"/>
      <c r="O198" s="67">
        <f t="shared" si="27"/>
        <v>811.6</v>
      </c>
    </row>
    <row r="199" spans="1:15" s="107" customFormat="1" ht="66" x14ac:dyDescent="0.2">
      <c r="A199" s="64" t="str">
        <f ca="1">IF(ISERROR(MATCH(E199,Код_КЦСР,0)),"",INDIRECT(ADDRESS(MATCH(E199,Код_КЦСР,0)+1,2,,,"КЦСР")))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199" s="26">
        <v>801</v>
      </c>
      <c r="C199" s="65" t="s">
        <v>73</v>
      </c>
      <c r="D199" s="65" t="s">
        <v>53</v>
      </c>
      <c r="E199" s="26" t="s">
        <v>310</v>
      </c>
      <c r="F199" s="26"/>
      <c r="G199" s="66">
        <f>G200+G203</f>
        <v>44596.7</v>
      </c>
      <c r="H199" s="66">
        <f>H200+H203</f>
        <v>0</v>
      </c>
      <c r="I199" s="67">
        <f t="shared" si="29"/>
        <v>44596.7</v>
      </c>
      <c r="J199" s="66">
        <f>J200+J203</f>
        <v>0</v>
      </c>
      <c r="K199" s="67">
        <f t="shared" si="30"/>
        <v>44596.7</v>
      </c>
      <c r="L199" s="66">
        <f>L200+L203</f>
        <v>0</v>
      </c>
      <c r="M199" s="67">
        <f t="shared" si="31"/>
        <v>44596.7</v>
      </c>
      <c r="N199" s="66">
        <f>N200+N203</f>
        <v>0</v>
      </c>
      <c r="O199" s="67">
        <f t="shared" si="27"/>
        <v>44596.7</v>
      </c>
    </row>
    <row r="200" spans="1:15" s="107" customFormat="1" ht="82.5" x14ac:dyDescent="0.2">
      <c r="A200" s="64" t="str">
        <f ca="1">IF(ISERROR(MATCH(E200,Код_КЦСР,0)),"",INDIRECT(ADDRESS(MATCH(E200,Код_КЦСР,0)+1,2,,,"КЦСР")))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города, за счет средств городского бюджета</v>
      </c>
      <c r="B200" s="26">
        <v>801</v>
      </c>
      <c r="C200" s="65" t="s">
        <v>73</v>
      </c>
      <c r="D200" s="65" t="s">
        <v>53</v>
      </c>
      <c r="E200" s="26" t="s">
        <v>478</v>
      </c>
      <c r="F200" s="26"/>
      <c r="G200" s="66">
        <f>G201</f>
        <v>44479</v>
      </c>
      <c r="H200" s="66">
        <f>H201</f>
        <v>0</v>
      </c>
      <c r="I200" s="67">
        <f t="shared" si="29"/>
        <v>44479</v>
      </c>
      <c r="J200" s="66">
        <f>J201</f>
        <v>0</v>
      </c>
      <c r="K200" s="67">
        <f t="shared" si="30"/>
        <v>44479</v>
      </c>
      <c r="L200" s="66">
        <f>L201</f>
        <v>0</v>
      </c>
      <c r="M200" s="67">
        <f t="shared" si="31"/>
        <v>44479</v>
      </c>
      <c r="N200" s="66">
        <f>N201</f>
        <v>0</v>
      </c>
      <c r="O200" s="67">
        <f t="shared" si="27"/>
        <v>44479</v>
      </c>
    </row>
    <row r="201" spans="1:15" s="107" customFormat="1" ht="33" x14ac:dyDescent="0.2">
      <c r="A201" s="64" t="str">
        <f ca="1">IF(ISERROR(MATCH(F201,Код_КВР,0)),"",INDIRECT(ADDRESS(MATCH(F201,Код_КВР,0)+1,2,,,"КВР")))</f>
        <v>Предоставление субсидий бюджетным, автономным учреждениям и иным некоммерческим организациям</v>
      </c>
      <c r="B201" s="26">
        <v>801</v>
      </c>
      <c r="C201" s="65" t="s">
        <v>73</v>
      </c>
      <c r="D201" s="65" t="s">
        <v>53</v>
      </c>
      <c r="E201" s="26" t="s">
        <v>478</v>
      </c>
      <c r="F201" s="26">
        <v>600</v>
      </c>
      <c r="G201" s="66">
        <f t="shared" ref="G201:N201" si="38">G202</f>
        <v>44479</v>
      </c>
      <c r="H201" s="66">
        <f t="shared" si="38"/>
        <v>0</v>
      </c>
      <c r="I201" s="67">
        <f t="shared" si="29"/>
        <v>44479</v>
      </c>
      <c r="J201" s="66">
        <f t="shared" si="38"/>
        <v>0</v>
      </c>
      <c r="K201" s="67">
        <f t="shared" si="30"/>
        <v>44479</v>
      </c>
      <c r="L201" s="66">
        <f t="shared" si="38"/>
        <v>0</v>
      </c>
      <c r="M201" s="67">
        <f t="shared" si="31"/>
        <v>44479</v>
      </c>
      <c r="N201" s="66">
        <f t="shared" si="38"/>
        <v>0</v>
      </c>
      <c r="O201" s="67">
        <f t="shared" si="27"/>
        <v>44479</v>
      </c>
    </row>
    <row r="202" spans="1:15" s="107" customFormat="1" ht="23.25" customHeight="1" x14ac:dyDescent="0.2">
      <c r="A202" s="64" t="str">
        <f ca="1">IF(ISERROR(MATCH(F202,Код_КВР,0)),"",INDIRECT(ADDRESS(MATCH(F202,Код_КВР,0)+1,2,,,"КВР")))</f>
        <v>Субсидии бюджетным учреждениям</v>
      </c>
      <c r="B202" s="26">
        <v>801</v>
      </c>
      <c r="C202" s="65" t="s">
        <v>73</v>
      </c>
      <c r="D202" s="65" t="s">
        <v>53</v>
      </c>
      <c r="E202" s="26" t="s">
        <v>478</v>
      </c>
      <c r="F202" s="26">
        <v>610</v>
      </c>
      <c r="G202" s="66">
        <f>42844.4+1634.6</f>
        <v>44479</v>
      </c>
      <c r="H202" s="67"/>
      <c r="I202" s="67">
        <f t="shared" si="29"/>
        <v>44479</v>
      </c>
      <c r="J202" s="66"/>
      <c r="K202" s="67">
        <f t="shared" si="30"/>
        <v>44479</v>
      </c>
      <c r="L202" s="66"/>
      <c r="M202" s="67">
        <f t="shared" si="31"/>
        <v>44479</v>
      </c>
      <c r="N202" s="66"/>
      <c r="O202" s="67">
        <f t="shared" si="27"/>
        <v>44479</v>
      </c>
    </row>
    <row r="203" spans="1:15" s="107" customFormat="1" ht="183.75" customHeight="1" x14ac:dyDescent="0.2">
      <c r="A203" s="64" t="str">
        <f ca="1">IF(ISERROR(MATCH(E203,Код_КЦСР,0)),"",INDIRECT(ADDRESS(MATCH(E203,Код_КЦСР,0)+1,2,,,"КЦСР")))</f>
        <v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 года № 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государственных образовательных организациях), лиц из числа детей указанных категорий», за счет средств областного бюджета</v>
      </c>
      <c r="B203" s="26">
        <v>801</v>
      </c>
      <c r="C203" s="65" t="s">
        <v>73</v>
      </c>
      <c r="D203" s="65" t="s">
        <v>53</v>
      </c>
      <c r="E203" s="26" t="s">
        <v>468</v>
      </c>
      <c r="F203" s="26"/>
      <c r="G203" s="66">
        <f>G204</f>
        <v>117.7</v>
      </c>
      <c r="H203" s="66">
        <f>H204</f>
        <v>0</v>
      </c>
      <c r="I203" s="67">
        <f t="shared" si="29"/>
        <v>117.7</v>
      </c>
      <c r="J203" s="66">
        <f>J204</f>
        <v>0</v>
      </c>
      <c r="K203" s="67">
        <f t="shared" si="30"/>
        <v>117.7</v>
      </c>
      <c r="L203" s="66">
        <f>L204</f>
        <v>0</v>
      </c>
      <c r="M203" s="67">
        <f t="shared" si="31"/>
        <v>117.7</v>
      </c>
      <c r="N203" s="66">
        <f>N204</f>
        <v>0</v>
      </c>
      <c r="O203" s="67">
        <f t="shared" si="27"/>
        <v>117.7</v>
      </c>
    </row>
    <row r="204" spans="1:15" s="107" customFormat="1" ht="35.25" customHeight="1" x14ac:dyDescent="0.2">
      <c r="A204" s="64" t="str">
        <f ca="1">IF(ISERROR(MATCH(F204,Код_КВР,0)),"",INDIRECT(ADDRESS(MATCH(F204,Код_КВР,0)+1,2,,,"КВР")))</f>
        <v>Предоставление субсидий бюджетным, автономным учреждениям и иным некоммерческим организациям</v>
      </c>
      <c r="B204" s="26">
        <v>801</v>
      </c>
      <c r="C204" s="65" t="s">
        <v>73</v>
      </c>
      <c r="D204" s="65" t="s">
        <v>53</v>
      </c>
      <c r="E204" s="26" t="s">
        <v>468</v>
      </c>
      <c r="F204" s="26">
        <v>600</v>
      </c>
      <c r="G204" s="66">
        <f>G205</f>
        <v>117.7</v>
      </c>
      <c r="H204" s="66">
        <f>H205</f>
        <v>0</v>
      </c>
      <c r="I204" s="67">
        <f t="shared" si="29"/>
        <v>117.7</v>
      </c>
      <c r="J204" s="66">
        <f>J205</f>
        <v>0</v>
      </c>
      <c r="K204" s="67">
        <f t="shared" si="30"/>
        <v>117.7</v>
      </c>
      <c r="L204" s="66">
        <f>L205</f>
        <v>0</v>
      </c>
      <c r="M204" s="67">
        <f t="shared" si="31"/>
        <v>117.7</v>
      </c>
      <c r="N204" s="66">
        <f>N205</f>
        <v>0</v>
      </c>
      <c r="O204" s="67">
        <f t="shared" si="27"/>
        <v>117.7</v>
      </c>
    </row>
    <row r="205" spans="1:15" s="107" customFormat="1" ht="19.5" customHeight="1" x14ac:dyDescent="0.2">
      <c r="A205" s="64" t="str">
        <f ca="1">IF(ISERROR(MATCH(F205,Код_КВР,0)),"",INDIRECT(ADDRESS(MATCH(F205,Код_КВР,0)+1,2,,,"КВР")))</f>
        <v>Субсидии бюджетным учреждениям</v>
      </c>
      <c r="B205" s="26">
        <v>801</v>
      </c>
      <c r="C205" s="65" t="s">
        <v>73</v>
      </c>
      <c r="D205" s="65" t="s">
        <v>53</v>
      </c>
      <c r="E205" s="26" t="s">
        <v>468</v>
      </c>
      <c r="F205" s="26">
        <v>610</v>
      </c>
      <c r="G205" s="66">
        <v>117.7</v>
      </c>
      <c r="H205" s="67"/>
      <c r="I205" s="67">
        <f t="shared" si="29"/>
        <v>117.7</v>
      </c>
      <c r="J205" s="66"/>
      <c r="K205" s="67">
        <f t="shared" si="30"/>
        <v>117.7</v>
      </c>
      <c r="L205" s="66"/>
      <c r="M205" s="67">
        <f t="shared" si="31"/>
        <v>117.7</v>
      </c>
      <c r="N205" s="66"/>
      <c r="O205" s="67">
        <f t="shared" si="27"/>
        <v>117.7</v>
      </c>
    </row>
    <row r="206" spans="1:15" s="107" customFormat="1" ht="33" x14ac:dyDescent="0.2">
      <c r="A206" s="64" t="str">
        <f ca="1">IF(ISERROR(MATCH(E206,Код_КЦСР,0)),"",INDIRECT(ADDRESS(MATCH(E206,Код_КЦСР,0)+1,2,,,"КЦСР")))</f>
        <v>Муниципальная программа «Развитие земельно-имущественного комплекса города Череповца» на 2014 – 2022 годы</v>
      </c>
      <c r="B206" s="26">
        <v>801</v>
      </c>
      <c r="C206" s="65" t="s">
        <v>73</v>
      </c>
      <c r="D206" s="65" t="s">
        <v>53</v>
      </c>
      <c r="E206" s="26" t="s">
        <v>356</v>
      </c>
      <c r="F206" s="26"/>
      <c r="G206" s="66">
        <f t="shared" ref="G206:N208" si="39">G207</f>
        <v>5831.6</v>
      </c>
      <c r="H206" s="66">
        <f t="shared" si="39"/>
        <v>0</v>
      </c>
      <c r="I206" s="67">
        <f t="shared" si="29"/>
        <v>5831.6</v>
      </c>
      <c r="J206" s="66">
        <f t="shared" si="39"/>
        <v>0</v>
      </c>
      <c r="K206" s="67">
        <f t="shared" si="30"/>
        <v>5831.6</v>
      </c>
      <c r="L206" s="66">
        <f t="shared" si="39"/>
        <v>0</v>
      </c>
      <c r="M206" s="67">
        <f t="shared" si="31"/>
        <v>5831.6</v>
      </c>
      <c r="N206" s="66">
        <f t="shared" si="39"/>
        <v>0</v>
      </c>
      <c r="O206" s="67">
        <f t="shared" si="27"/>
        <v>5831.6</v>
      </c>
    </row>
    <row r="207" spans="1:15" s="107" customFormat="1" ht="33" x14ac:dyDescent="0.2">
      <c r="A207" s="64" t="str">
        <f ca="1">IF(ISERROR(MATCH(E207,Код_КЦСР,0)),"",INDIRECT(ADDRESS(MATCH(E207,Код_КЦСР,0)+1,2,,,"КЦСР")))</f>
        <v>Формирование и обеспечение сохранности муниципального земельно-имущественного комплекса</v>
      </c>
      <c r="B207" s="26">
        <v>801</v>
      </c>
      <c r="C207" s="65" t="s">
        <v>73</v>
      </c>
      <c r="D207" s="65" t="s">
        <v>53</v>
      </c>
      <c r="E207" s="26" t="s">
        <v>357</v>
      </c>
      <c r="F207" s="26"/>
      <c r="G207" s="66">
        <f t="shared" si="39"/>
        <v>5831.6</v>
      </c>
      <c r="H207" s="66">
        <f t="shared" si="39"/>
        <v>0</v>
      </c>
      <c r="I207" s="67">
        <f t="shared" si="29"/>
        <v>5831.6</v>
      </c>
      <c r="J207" s="66">
        <f t="shared" si="39"/>
        <v>0</v>
      </c>
      <c r="K207" s="67">
        <f t="shared" si="30"/>
        <v>5831.6</v>
      </c>
      <c r="L207" s="66">
        <f t="shared" si="39"/>
        <v>0</v>
      </c>
      <c r="M207" s="67">
        <f t="shared" si="31"/>
        <v>5831.6</v>
      </c>
      <c r="N207" s="66">
        <f t="shared" si="39"/>
        <v>0</v>
      </c>
      <c r="O207" s="67">
        <f t="shared" si="27"/>
        <v>5831.6</v>
      </c>
    </row>
    <row r="208" spans="1:15" s="107" customFormat="1" ht="33" x14ac:dyDescent="0.2">
      <c r="A208" s="64" t="str">
        <f ca="1">IF(ISERROR(MATCH(F208,Код_КВР,0)),"",INDIRECT(ADDRESS(MATCH(F208,Код_КВР,0)+1,2,,,"КВР")))</f>
        <v>Предоставление субсидий бюджетным, автономным учреждениям и иным некоммерческим организациям</v>
      </c>
      <c r="B208" s="26">
        <v>801</v>
      </c>
      <c r="C208" s="65" t="s">
        <v>73</v>
      </c>
      <c r="D208" s="65" t="s">
        <v>53</v>
      </c>
      <c r="E208" s="26" t="s">
        <v>357</v>
      </c>
      <c r="F208" s="26">
        <v>600</v>
      </c>
      <c r="G208" s="66">
        <f t="shared" si="39"/>
        <v>5831.6</v>
      </c>
      <c r="H208" s="66">
        <f t="shared" si="39"/>
        <v>0</v>
      </c>
      <c r="I208" s="67">
        <f t="shared" si="29"/>
        <v>5831.6</v>
      </c>
      <c r="J208" s="66">
        <f t="shared" si="39"/>
        <v>0</v>
      </c>
      <c r="K208" s="67">
        <f t="shared" si="30"/>
        <v>5831.6</v>
      </c>
      <c r="L208" s="66">
        <f t="shared" si="39"/>
        <v>0</v>
      </c>
      <c r="M208" s="67">
        <f t="shared" si="31"/>
        <v>5831.6</v>
      </c>
      <c r="N208" s="66">
        <f t="shared" si="39"/>
        <v>0</v>
      </c>
      <c r="O208" s="67">
        <f t="shared" si="27"/>
        <v>5831.6</v>
      </c>
    </row>
    <row r="209" spans="1:15" s="107" customFormat="1" x14ac:dyDescent="0.2">
      <c r="A209" s="64" t="str">
        <f ca="1">IF(ISERROR(MATCH(F209,Код_КВР,0)),"",INDIRECT(ADDRESS(MATCH(F209,Код_КВР,0)+1,2,,,"КВР")))</f>
        <v>Субсидии бюджетным учреждениям</v>
      </c>
      <c r="B209" s="26">
        <v>801</v>
      </c>
      <c r="C209" s="65" t="s">
        <v>73</v>
      </c>
      <c r="D209" s="65" t="s">
        <v>53</v>
      </c>
      <c r="E209" s="26" t="s">
        <v>357</v>
      </c>
      <c r="F209" s="26">
        <v>610</v>
      </c>
      <c r="G209" s="66">
        <v>5831.6</v>
      </c>
      <c r="H209" s="67"/>
      <c r="I209" s="67">
        <f t="shared" si="29"/>
        <v>5831.6</v>
      </c>
      <c r="J209" s="66"/>
      <c r="K209" s="67">
        <f t="shared" si="30"/>
        <v>5831.6</v>
      </c>
      <c r="L209" s="66"/>
      <c r="M209" s="67">
        <f t="shared" si="31"/>
        <v>5831.6</v>
      </c>
      <c r="N209" s="66"/>
      <c r="O209" s="67">
        <f t="shared" si="27"/>
        <v>5831.6</v>
      </c>
    </row>
    <row r="210" spans="1:15" s="107" customFormat="1" ht="33" x14ac:dyDescent="0.2">
      <c r="A210" s="64" t="str">
        <f ca="1">IF(ISERROR(MATCH(E210,Код_КЦСР,0)),"",INDIRECT(ADDRESS(MATCH(E210,Код_КЦСР,0)+1,2,,,"КЦСР")))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210" s="26">
        <v>801</v>
      </c>
      <c r="C210" s="65" t="s">
        <v>73</v>
      </c>
      <c r="D210" s="65" t="s">
        <v>53</v>
      </c>
      <c r="E210" s="26" t="s">
        <v>369</v>
      </c>
      <c r="F210" s="26"/>
      <c r="G210" s="66">
        <f>G211</f>
        <v>2242.4</v>
      </c>
      <c r="H210" s="66">
        <f>H211</f>
        <v>0</v>
      </c>
      <c r="I210" s="67">
        <f t="shared" si="29"/>
        <v>2242.4</v>
      </c>
      <c r="J210" s="66">
        <f>J211</f>
        <v>0</v>
      </c>
      <c r="K210" s="67">
        <f t="shared" si="30"/>
        <v>2242.4</v>
      </c>
      <c r="L210" s="66">
        <f>L211</f>
        <v>0</v>
      </c>
      <c r="M210" s="67">
        <f t="shared" si="31"/>
        <v>2242.4</v>
      </c>
      <c r="N210" s="66">
        <f>N211</f>
        <v>0</v>
      </c>
      <c r="O210" s="67">
        <f t="shared" si="27"/>
        <v>2242.4</v>
      </c>
    </row>
    <row r="211" spans="1:15" s="107" customFormat="1" ht="33" x14ac:dyDescent="0.2">
      <c r="A211" s="64" t="str">
        <f ca="1">IF(ISERROR(MATCH(E211,Код_КЦСР,0)),"",INDIRECT(ADDRESS(MATCH(E211,Код_КЦСР,0)+1,2,,,"КЦСР")))</f>
        <v>Построение и развитие аппаратно-программного комплекса «Безопасный город» на территории города Череповца</v>
      </c>
      <c r="B211" s="26">
        <v>801</v>
      </c>
      <c r="C211" s="65" t="s">
        <v>73</v>
      </c>
      <c r="D211" s="65" t="s">
        <v>53</v>
      </c>
      <c r="E211" s="26" t="s">
        <v>459</v>
      </c>
      <c r="F211" s="26"/>
      <c r="G211" s="66">
        <f>G212</f>
        <v>2242.4</v>
      </c>
      <c r="H211" s="66">
        <f>H212</f>
        <v>0</v>
      </c>
      <c r="I211" s="67">
        <f t="shared" si="29"/>
        <v>2242.4</v>
      </c>
      <c r="J211" s="66">
        <f>J212</f>
        <v>0</v>
      </c>
      <c r="K211" s="67">
        <f t="shared" si="30"/>
        <v>2242.4</v>
      </c>
      <c r="L211" s="66">
        <f>L212</f>
        <v>0</v>
      </c>
      <c r="M211" s="67">
        <f t="shared" si="31"/>
        <v>2242.4</v>
      </c>
      <c r="N211" s="66">
        <f>N212</f>
        <v>0</v>
      </c>
      <c r="O211" s="67">
        <f t="shared" ref="O211:O274" si="40">M211+N211</f>
        <v>2242.4</v>
      </c>
    </row>
    <row r="212" spans="1:15" s="107" customFormat="1" ht="60" customHeight="1" x14ac:dyDescent="0.2">
      <c r="A212" s="64" t="str">
        <f ca="1">IF(ISERROR(MATCH(E212,Код_КЦСР,0)),"",INDIRECT(ADDRESS(MATCH(E212,Код_КЦСР,0)+1,2,,,"КЦСР")))</f>
        <v>Внедрение и (или) эксплуатация современных технических средств, направленных на предупреждение правонарушений и преступлений в общественных местах и на улицах</v>
      </c>
      <c r="B212" s="26">
        <v>801</v>
      </c>
      <c r="C212" s="65" t="s">
        <v>73</v>
      </c>
      <c r="D212" s="65" t="s">
        <v>53</v>
      </c>
      <c r="E212" s="26" t="s">
        <v>462</v>
      </c>
      <c r="F212" s="26"/>
      <c r="G212" s="66">
        <f>G213+G216</f>
        <v>2242.4</v>
      </c>
      <c r="H212" s="66">
        <f>H213+H216</f>
        <v>0</v>
      </c>
      <c r="I212" s="67">
        <f t="shared" si="29"/>
        <v>2242.4</v>
      </c>
      <c r="J212" s="66">
        <f>J213+J216</f>
        <v>0</v>
      </c>
      <c r="K212" s="67">
        <f t="shared" si="30"/>
        <v>2242.4</v>
      </c>
      <c r="L212" s="66">
        <f>L213+L216</f>
        <v>0</v>
      </c>
      <c r="M212" s="67">
        <f t="shared" si="31"/>
        <v>2242.4</v>
      </c>
      <c r="N212" s="66">
        <f>N213+N216</f>
        <v>0</v>
      </c>
      <c r="O212" s="67">
        <f t="shared" si="40"/>
        <v>2242.4</v>
      </c>
    </row>
    <row r="213" spans="1:15" s="107" customFormat="1" ht="69.75" customHeight="1" x14ac:dyDescent="0.2">
      <c r="A213" s="64" t="str">
        <f ca="1">IF(ISERROR(MATCH(E213,Код_КЦСР,0)),"",INDIRECT(ADDRESS(MATCH(E213,Код_КЦСР,0)+1,2,,,"КЦСР")))</f>
        <v>Внедрение и (или) эксплуатация современных технических средств, направленных на предупреждение правонарушений и преступлений в общественных местах и на улицах, в рамках софинансирования с областным бюджетом</v>
      </c>
      <c r="B213" s="26">
        <v>801</v>
      </c>
      <c r="C213" s="65" t="s">
        <v>73</v>
      </c>
      <c r="D213" s="65" t="s">
        <v>53</v>
      </c>
      <c r="E213" s="26" t="s">
        <v>463</v>
      </c>
      <c r="F213" s="26"/>
      <c r="G213" s="66">
        <f>G214</f>
        <v>142.4</v>
      </c>
      <c r="H213" s="66">
        <f>H214</f>
        <v>0</v>
      </c>
      <c r="I213" s="67">
        <f t="shared" si="29"/>
        <v>142.4</v>
      </c>
      <c r="J213" s="66">
        <f>J214</f>
        <v>0</v>
      </c>
      <c r="K213" s="67">
        <f t="shared" si="30"/>
        <v>142.4</v>
      </c>
      <c r="L213" s="66">
        <f>L214</f>
        <v>0</v>
      </c>
      <c r="M213" s="67">
        <f t="shared" si="31"/>
        <v>142.4</v>
      </c>
      <c r="N213" s="66">
        <f>N214</f>
        <v>0</v>
      </c>
      <c r="O213" s="67">
        <f t="shared" si="40"/>
        <v>142.4</v>
      </c>
    </row>
    <row r="214" spans="1:15" s="107" customFormat="1" ht="33" x14ac:dyDescent="0.2">
      <c r="A214" s="64" t="str">
        <f ca="1">IF(ISERROR(MATCH(F214,Код_КВР,0)),"",INDIRECT(ADDRESS(MATCH(F214,Код_КВР,0)+1,2,,,"КВР")))</f>
        <v>Предоставление субсидий бюджетным, автономным учреждениям и иным некоммерческим организациям</v>
      </c>
      <c r="B214" s="26">
        <v>801</v>
      </c>
      <c r="C214" s="65" t="s">
        <v>73</v>
      </c>
      <c r="D214" s="65" t="s">
        <v>53</v>
      </c>
      <c r="E214" s="26" t="s">
        <v>463</v>
      </c>
      <c r="F214" s="26">
        <v>600</v>
      </c>
      <c r="G214" s="66">
        <f>G215</f>
        <v>142.4</v>
      </c>
      <c r="H214" s="66">
        <f>H215</f>
        <v>0</v>
      </c>
      <c r="I214" s="67">
        <f t="shared" si="29"/>
        <v>142.4</v>
      </c>
      <c r="J214" s="66">
        <f>J215</f>
        <v>0</v>
      </c>
      <c r="K214" s="67">
        <f t="shared" si="30"/>
        <v>142.4</v>
      </c>
      <c r="L214" s="66">
        <f>L215</f>
        <v>0</v>
      </c>
      <c r="M214" s="67">
        <f t="shared" si="31"/>
        <v>142.4</v>
      </c>
      <c r="N214" s="66">
        <f>N215</f>
        <v>0</v>
      </c>
      <c r="O214" s="67">
        <f t="shared" si="40"/>
        <v>142.4</v>
      </c>
    </row>
    <row r="215" spans="1:15" s="107" customFormat="1" x14ac:dyDescent="0.2">
      <c r="A215" s="64" t="str">
        <f ca="1">IF(ISERROR(MATCH(F215,Код_КВР,0)),"",INDIRECT(ADDRESS(MATCH(F215,Код_КВР,0)+1,2,,,"КВР")))</f>
        <v>Субсидии бюджетным учреждениям</v>
      </c>
      <c r="B215" s="26">
        <v>801</v>
      </c>
      <c r="C215" s="65" t="s">
        <v>73</v>
      </c>
      <c r="D215" s="65" t="s">
        <v>53</v>
      </c>
      <c r="E215" s="26" t="s">
        <v>463</v>
      </c>
      <c r="F215" s="26">
        <v>610</v>
      </c>
      <c r="G215" s="66">
        <v>142.4</v>
      </c>
      <c r="H215" s="67"/>
      <c r="I215" s="67">
        <f t="shared" si="29"/>
        <v>142.4</v>
      </c>
      <c r="J215" s="66"/>
      <c r="K215" s="67">
        <f t="shared" si="30"/>
        <v>142.4</v>
      </c>
      <c r="L215" s="66"/>
      <c r="M215" s="67">
        <f t="shared" si="31"/>
        <v>142.4</v>
      </c>
      <c r="N215" s="66"/>
      <c r="O215" s="67">
        <f t="shared" si="40"/>
        <v>142.4</v>
      </c>
    </row>
    <row r="216" spans="1:15" s="107" customFormat="1" ht="36.75" customHeight="1" x14ac:dyDescent="0.2">
      <c r="A216" s="64" t="str">
        <f ca="1">IF(ISERROR(MATCH(E216,Код_КЦСР,0)),"",INDIRECT(ADDRESS(MATCH(E216,Код_КЦСР,0)+1,2,,,"КЦСР")))</f>
        <v>Внедрение и (или) эксплуатация аппаратно-программного комплекса «Безопасный город», за счет средств областного бюджета</v>
      </c>
      <c r="B216" s="26">
        <v>801</v>
      </c>
      <c r="C216" s="65" t="s">
        <v>73</v>
      </c>
      <c r="D216" s="65" t="s">
        <v>53</v>
      </c>
      <c r="E216" s="26" t="s">
        <v>477</v>
      </c>
      <c r="F216" s="26"/>
      <c r="G216" s="66">
        <f>G217</f>
        <v>2100</v>
      </c>
      <c r="H216" s="66">
        <f>H217</f>
        <v>0</v>
      </c>
      <c r="I216" s="67">
        <f t="shared" si="29"/>
        <v>2100</v>
      </c>
      <c r="J216" s="66">
        <f>J217</f>
        <v>0</v>
      </c>
      <c r="K216" s="67">
        <f t="shared" si="30"/>
        <v>2100</v>
      </c>
      <c r="L216" s="66">
        <f>L217</f>
        <v>0</v>
      </c>
      <c r="M216" s="67">
        <f t="shared" si="31"/>
        <v>2100</v>
      </c>
      <c r="N216" s="66">
        <f>N217</f>
        <v>0</v>
      </c>
      <c r="O216" s="67">
        <f t="shared" si="40"/>
        <v>2100</v>
      </c>
    </row>
    <row r="217" spans="1:15" s="107" customFormat="1" ht="33" x14ac:dyDescent="0.2">
      <c r="A217" s="64" t="str">
        <f ca="1">IF(ISERROR(MATCH(F217,Код_КВР,0)),"",INDIRECT(ADDRESS(MATCH(F217,Код_КВР,0)+1,2,,,"КВР")))</f>
        <v>Предоставление субсидий бюджетным, автономным учреждениям и иным некоммерческим организациям</v>
      </c>
      <c r="B217" s="26">
        <v>801</v>
      </c>
      <c r="C217" s="65" t="s">
        <v>73</v>
      </c>
      <c r="D217" s="65" t="s">
        <v>53</v>
      </c>
      <c r="E217" s="26" t="s">
        <v>477</v>
      </c>
      <c r="F217" s="26">
        <v>600</v>
      </c>
      <c r="G217" s="66">
        <f>G218</f>
        <v>2100</v>
      </c>
      <c r="H217" s="66">
        <f>H218</f>
        <v>0</v>
      </c>
      <c r="I217" s="67">
        <f t="shared" si="29"/>
        <v>2100</v>
      </c>
      <c r="J217" s="66">
        <f>J218</f>
        <v>0</v>
      </c>
      <c r="K217" s="67">
        <f t="shared" si="30"/>
        <v>2100</v>
      </c>
      <c r="L217" s="66">
        <f>L218</f>
        <v>0</v>
      </c>
      <c r="M217" s="67">
        <f t="shared" si="31"/>
        <v>2100</v>
      </c>
      <c r="N217" s="66">
        <f>N218</f>
        <v>0</v>
      </c>
      <c r="O217" s="67">
        <f t="shared" si="40"/>
        <v>2100</v>
      </c>
    </row>
    <row r="218" spans="1:15" s="107" customFormat="1" x14ac:dyDescent="0.2">
      <c r="A218" s="64" t="str">
        <f ca="1">IF(ISERROR(MATCH(F218,Код_КВР,0)),"",INDIRECT(ADDRESS(MATCH(F218,Код_КВР,0)+1,2,,,"КВР")))</f>
        <v>Субсидии бюджетным учреждениям</v>
      </c>
      <c r="B218" s="26">
        <v>801</v>
      </c>
      <c r="C218" s="65" t="s">
        <v>73</v>
      </c>
      <c r="D218" s="65" t="s">
        <v>53</v>
      </c>
      <c r="E218" s="26" t="s">
        <v>477</v>
      </c>
      <c r="F218" s="26">
        <v>610</v>
      </c>
      <c r="G218" s="66">
        <v>2100</v>
      </c>
      <c r="H218" s="67"/>
      <c r="I218" s="67">
        <f t="shared" si="29"/>
        <v>2100</v>
      </c>
      <c r="J218" s="66"/>
      <c r="K218" s="67">
        <f t="shared" si="30"/>
        <v>2100</v>
      </c>
      <c r="L218" s="66"/>
      <c r="M218" s="67">
        <f t="shared" si="31"/>
        <v>2100</v>
      </c>
      <c r="N218" s="66"/>
      <c r="O218" s="67">
        <f t="shared" si="40"/>
        <v>2100</v>
      </c>
    </row>
    <row r="219" spans="1:15" s="107" customFormat="1" ht="33" x14ac:dyDescent="0.2">
      <c r="A219" s="64" t="str">
        <f ca="1">IF(ISERROR(MATCH(E219,Код_КЦСР,0)),"",INDIRECT(ADDRESS(MATCH(E219,Код_КЦСР,0)+1,2,,,"КЦСР")))</f>
        <v>Муниципальная программа «Совершенствование муниципального управления в городе Череповце» на 2014 – 2020 годы</v>
      </c>
      <c r="B219" s="26">
        <v>801</v>
      </c>
      <c r="C219" s="65" t="s">
        <v>73</v>
      </c>
      <c r="D219" s="65" t="s">
        <v>53</v>
      </c>
      <c r="E219" s="26" t="s">
        <v>381</v>
      </c>
      <c r="F219" s="26"/>
      <c r="G219" s="66">
        <f>G220+G224</f>
        <v>806.7</v>
      </c>
      <c r="H219" s="66">
        <f>H220+H224</f>
        <v>0</v>
      </c>
      <c r="I219" s="67">
        <f t="shared" ref="I219:I293" si="41">G219+H219</f>
        <v>806.7</v>
      </c>
      <c r="J219" s="66">
        <f>J220+J224</f>
        <v>0</v>
      </c>
      <c r="K219" s="67">
        <f t="shared" ref="K219:K285" si="42">I219+J219</f>
        <v>806.7</v>
      </c>
      <c r="L219" s="66">
        <f>L220+L224</f>
        <v>0</v>
      </c>
      <c r="M219" s="67">
        <f t="shared" ref="M219:M285" si="43">K219+L219</f>
        <v>806.7</v>
      </c>
      <c r="N219" s="66">
        <f>N220+N224</f>
        <v>0</v>
      </c>
      <c r="O219" s="67">
        <f t="shared" si="40"/>
        <v>806.7</v>
      </c>
    </row>
    <row r="220" spans="1:15" s="107" customFormat="1" ht="33" x14ac:dyDescent="0.2">
      <c r="A220" s="64" t="str">
        <f ca="1">IF(ISERROR(MATCH(E220,Код_КЦСР,0)),"",INDIRECT(ADDRESS(MATCH(E220,Код_КЦСР,0)+1,2,,,"КЦСР")))</f>
        <v>Создание условий для обеспечения выполнения органами муниципальной власти своих полномочий</v>
      </c>
      <c r="B220" s="26">
        <v>801</v>
      </c>
      <c r="C220" s="65" t="s">
        <v>73</v>
      </c>
      <c r="D220" s="65" t="s">
        <v>53</v>
      </c>
      <c r="E220" s="26" t="s">
        <v>382</v>
      </c>
      <c r="F220" s="26"/>
      <c r="G220" s="66">
        <f t="shared" ref="G220:N222" si="44">G221</f>
        <v>148.5</v>
      </c>
      <c r="H220" s="66">
        <f t="shared" si="44"/>
        <v>0</v>
      </c>
      <c r="I220" s="67">
        <f t="shared" si="41"/>
        <v>148.5</v>
      </c>
      <c r="J220" s="66">
        <f t="shared" si="44"/>
        <v>0</v>
      </c>
      <c r="K220" s="67">
        <f t="shared" si="42"/>
        <v>148.5</v>
      </c>
      <c r="L220" s="66">
        <f t="shared" si="44"/>
        <v>0</v>
      </c>
      <c r="M220" s="67">
        <f t="shared" si="43"/>
        <v>148.5</v>
      </c>
      <c r="N220" s="66">
        <f t="shared" si="44"/>
        <v>0</v>
      </c>
      <c r="O220" s="67">
        <f t="shared" si="40"/>
        <v>148.5</v>
      </c>
    </row>
    <row r="221" spans="1:15" s="107" customFormat="1" x14ac:dyDescent="0.2">
      <c r="A221" s="64" t="str">
        <f ca="1">IF(ISERROR(MATCH(E221,Код_КЦСР,0)),"",INDIRECT(ADDRESS(MATCH(E221,Код_КЦСР,0)+1,2,,,"КЦСР")))</f>
        <v>Обеспечение работы СЭД «Летограф»</v>
      </c>
      <c r="B221" s="26">
        <v>801</v>
      </c>
      <c r="C221" s="65" t="s">
        <v>73</v>
      </c>
      <c r="D221" s="65" t="s">
        <v>53</v>
      </c>
      <c r="E221" s="26" t="s">
        <v>383</v>
      </c>
      <c r="F221" s="26"/>
      <c r="G221" s="66">
        <f t="shared" si="44"/>
        <v>148.5</v>
      </c>
      <c r="H221" s="66">
        <f t="shared" si="44"/>
        <v>0</v>
      </c>
      <c r="I221" s="67">
        <f t="shared" si="41"/>
        <v>148.5</v>
      </c>
      <c r="J221" s="66">
        <f t="shared" si="44"/>
        <v>0</v>
      </c>
      <c r="K221" s="67">
        <f t="shared" si="42"/>
        <v>148.5</v>
      </c>
      <c r="L221" s="66">
        <f t="shared" si="44"/>
        <v>0</v>
      </c>
      <c r="M221" s="67">
        <f t="shared" si="43"/>
        <v>148.5</v>
      </c>
      <c r="N221" s="66">
        <f t="shared" si="44"/>
        <v>0</v>
      </c>
      <c r="O221" s="67">
        <f t="shared" si="40"/>
        <v>148.5</v>
      </c>
    </row>
    <row r="222" spans="1:15" s="107" customFormat="1" ht="33" x14ac:dyDescent="0.2">
      <c r="A222" s="64" t="str">
        <f ca="1">IF(ISERROR(MATCH(F222,Код_КВР,0)),"",INDIRECT(ADDRESS(MATCH(F222,Код_КВР,0)+1,2,,,"КВР")))</f>
        <v>Предоставление субсидий бюджетным, автономным учреждениям и иным некоммерческим организациям</v>
      </c>
      <c r="B222" s="26">
        <v>801</v>
      </c>
      <c r="C222" s="65" t="s">
        <v>73</v>
      </c>
      <c r="D222" s="65" t="s">
        <v>53</v>
      </c>
      <c r="E222" s="26" t="s">
        <v>383</v>
      </c>
      <c r="F222" s="26">
        <v>600</v>
      </c>
      <c r="G222" s="66">
        <f t="shared" si="44"/>
        <v>148.5</v>
      </c>
      <c r="H222" s="66">
        <f t="shared" si="44"/>
        <v>0</v>
      </c>
      <c r="I222" s="67">
        <f t="shared" si="41"/>
        <v>148.5</v>
      </c>
      <c r="J222" s="66">
        <f t="shared" si="44"/>
        <v>0</v>
      </c>
      <c r="K222" s="67">
        <f t="shared" si="42"/>
        <v>148.5</v>
      </c>
      <c r="L222" s="66">
        <f t="shared" si="44"/>
        <v>0</v>
      </c>
      <c r="M222" s="67">
        <f t="shared" si="43"/>
        <v>148.5</v>
      </c>
      <c r="N222" s="66">
        <f t="shared" si="44"/>
        <v>0</v>
      </c>
      <c r="O222" s="67">
        <f t="shared" si="40"/>
        <v>148.5</v>
      </c>
    </row>
    <row r="223" spans="1:15" s="107" customFormat="1" x14ac:dyDescent="0.2">
      <c r="A223" s="64" t="str">
        <f ca="1">IF(ISERROR(MATCH(F223,Код_КВР,0)),"",INDIRECT(ADDRESS(MATCH(F223,Код_КВР,0)+1,2,,,"КВР")))</f>
        <v>Субсидии бюджетным учреждениям</v>
      </c>
      <c r="B223" s="26">
        <v>801</v>
      </c>
      <c r="C223" s="65" t="s">
        <v>73</v>
      </c>
      <c r="D223" s="65" t="s">
        <v>53</v>
      </c>
      <c r="E223" s="26" t="s">
        <v>383</v>
      </c>
      <c r="F223" s="26">
        <v>610</v>
      </c>
      <c r="G223" s="66">
        <v>148.5</v>
      </c>
      <c r="H223" s="67"/>
      <c r="I223" s="67">
        <f t="shared" si="41"/>
        <v>148.5</v>
      </c>
      <c r="J223" s="66"/>
      <c r="K223" s="67">
        <f t="shared" si="42"/>
        <v>148.5</v>
      </c>
      <c r="L223" s="66"/>
      <c r="M223" s="67">
        <f t="shared" si="43"/>
        <v>148.5</v>
      </c>
      <c r="N223" s="66"/>
      <c r="O223" s="67">
        <f t="shared" si="40"/>
        <v>148.5</v>
      </c>
    </row>
    <row r="224" spans="1:15" s="107" customFormat="1" ht="49.5" x14ac:dyDescent="0.2">
      <c r="A224" s="64" t="str">
        <f ca="1">IF(ISERROR(MATCH(E224,Код_КЦСР,0)),"",INDIRECT(ADDRESS(MATCH(E224,Код_КЦСР,0)+1,2,,,"КЦСР")))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224" s="26">
        <v>801</v>
      </c>
      <c r="C224" s="65" t="s">
        <v>73</v>
      </c>
      <c r="D224" s="65" t="s">
        <v>53</v>
      </c>
      <c r="E224" s="26" t="s">
        <v>387</v>
      </c>
      <c r="F224" s="26"/>
      <c r="G224" s="66">
        <f>G225</f>
        <v>658.2</v>
      </c>
      <c r="H224" s="66">
        <f>H225</f>
        <v>0</v>
      </c>
      <c r="I224" s="67">
        <f t="shared" si="41"/>
        <v>658.2</v>
      </c>
      <c r="J224" s="66">
        <f>J225</f>
        <v>0</v>
      </c>
      <c r="K224" s="67">
        <f t="shared" si="42"/>
        <v>658.2</v>
      </c>
      <c r="L224" s="66">
        <f>L225</f>
        <v>0</v>
      </c>
      <c r="M224" s="67">
        <f t="shared" si="43"/>
        <v>658.2</v>
      </c>
      <c r="N224" s="66">
        <f>N225</f>
        <v>0</v>
      </c>
      <c r="O224" s="67">
        <f t="shared" si="40"/>
        <v>658.2</v>
      </c>
    </row>
    <row r="225" spans="1:15" s="107" customFormat="1" ht="21.75" customHeight="1" x14ac:dyDescent="0.2">
      <c r="A225" s="64" t="str">
        <f ca="1">IF(ISERROR(MATCH(E225,Код_КЦСР,0)),"",INDIRECT(ADDRESS(MATCH(E225,Код_КЦСР,0)+1,2,,,"КЦСР")))</f>
        <v>Совершенствование предоставления муниципальных услуг</v>
      </c>
      <c r="B225" s="26">
        <v>801</v>
      </c>
      <c r="C225" s="65" t="s">
        <v>73</v>
      </c>
      <c r="D225" s="65" t="s">
        <v>53</v>
      </c>
      <c r="E225" s="26" t="s">
        <v>388</v>
      </c>
      <c r="F225" s="26"/>
      <c r="G225" s="66">
        <f t="shared" ref="G225:N226" si="45">G226</f>
        <v>658.2</v>
      </c>
      <c r="H225" s="66">
        <f t="shared" si="45"/>
        <v>0</v>
      </c>
      <c r="I225" s="67">
        <f t="shared" si="41"/>
        <v>658.2</v>
      </c>
      <c r="J225" s="66">
        <f t="shared" si="45"/>
        <v>0</v>
      </c>
      <c r="K225" s="67">
        <f t="shared" si="42"/>
        <v>658.2</v>
      </c>
      <c r="L225" s="66">
        <f t="shared" si="45"/>
        <v>0</v>
      </c>
      <c r="M225" s="67">
        <f t="shared" si="43"/>
        <v>658.2</v>
      </c>
      <c r="N225" s="66">
        <f t="shared" si="45"/>
        <v>0</v>
      </c>
      <c r="O225" s="67">
        <f t="shared" si="40"/>
        <v>658.2</v>
      </c>
    </row>
    <row r="226" spans="1:15" s="107" customFormat="1" ht="33" x14ac:dyDescent="0.2">
      <c r="A226" s="64" t="str">
        <f ca="1">IF(ISERROR(MATCH(F226,Код_КВР,0)),"",INDIRECT(ADDRESS(MATCH(F226,Код_КВР,0)+1,2,,,"КВР")))</f>
        <v>Предоставление субсидий бюджетным, автономным учреждениям и иным некоммерческим организациям</v>
      </c>
      <c r="B226" s="26">
        <v>801</v>
      </c>
      <c r="C226" s="65" t="s">
        <v>73</v>
      </c>
      <c r="D226" s="65" t="s">
        <v>53</v>
      </c>
      <c r="E226" s="26" t="s">
        <v>388</v>
      </c>
      <c r="F226" s="26">
        <v>600</v>
      </c>
      <c r="G226" s="66">
        <f t="shared" si="45"/>
        <v>658.2</v>
      </c>
      <c r="H226" s="66">
        <f t="shared" si="45"/>
        <v>0</v>
      </c>
      <c r="I226" s="67">
        <f t="shared" si="41"/>
        <v>658.2</v>
      </c>
      <c r="J226" s="66">
        <f t="shared" si="45"/>
        <v>0</v>
      </c>
      <c r="K226" s="67">
        <f t="shared" si="42"/>
        <v>658.2</v>
      </c>
      <c r="L226" s="66">
        <f t="shared" si="45"/>
        <v>0</v>
      </c>
      <c r="M226" s="67">
        <f t="shared" si="43"/>
        <v>658.2</v>
      </c>
      <c r="N226" s="66">
        <f t="shared" si="45"/>
        <v>0</v>
      </c>
      <c r="O226" s="67">
        <f t="shared" si="40"/>
        <v>658.2</v>
      </c>
    </row>
    <row r="227" spans="1:15" s="107" customFormat="1" x14ac:dyDescent="0.2">
      <c r="A227" s="64" t="str">
        <f ca="1">IF(ISERROR(MATCH(F227,Код_КВР,0)),"",INDIRECT(ADDRESS(MATCH(F227,Код_КВР,0)+1,2,,,"КВР")))</f>
        <v>Субсидии бюджетным учреждениям</v>
      </c>
      <c r="B227" s="26">
        <v>801</v>
      </c>
      <c r="C227" s="65" t="s">
        <v>73</v>
      </c>
      <c r="D227" s="65" t="s">
        <v>53</v>
      </c>
      <c r="E227" s="26" t="s">
        <v>388</v>
      </c>
      <c r="F227" s="26">
        <v>610</v>
      </c>
      <c r="G227" s="66">
        <f>658.2</f>
        <v>658.2</v>
      </c>
      <c r="H227" s="67"/>
      <c r="I227" s="67">
        <f t="shared" si="41"/>
        <v>658.2</v>
      </c>
      <c r="J227" s="66"/>
      <c r="K227" s="67">
        <f t="shared" si="42"/>
        <v>658.2</v>
      </c>
      <c r="L227" s="66"/>
      <c r="M227" s="67">
        <f t="shared" si="43"/>
        <v>658.2</v>
      </c>
      <c r="N227" s="66"/>
      <c r="O227" s="67">
        <f t="shared" si="40"/>
        <v>658.2</v>
      </c>
    </row>
    <row r="228" spans="1:15" s="107" customFormat="1" x14ac:dyDescent="0.2">
      <c r="A228" s="74" t="s">
        <v>80</v>
      </c>
      <c r="B228" s="26">
        <v>801</v>
      </c>
      <c r="C228" s="65" t="s">
        <v>73</v>
      </c>
      <c r="D228" s="65" t="s">
        <v>61</v>
      </c>
      <c r="E228" s="26"/>
      <c r="F228" s="26"/>
      <c r="G228" s="66">
        <f>G229+G249</f>
        <v>16734.8</v>
      </c>
      <c r="H228" s="66">
        <f>H229+H249</f>
        <v>7140.4</v>
      </c>
      <c r="I228" s="67">
        <f t="shared" si="41"/>
        <v>23875.199999999997</v>
      </c>
      <c r="J228" s="66">
        <f>J229+J249</f>
        <v>0</v>
      </c>
      <c r="K228" s="67">
        <f t="shared" si="42"/>
        <v>23875.199999999997</v>
      </c>
      <c r="L228" s="66">
        <f>L229+L249</f>
        <v>1264.5999999999999</v>
      </c>
      <c r="M228" s="67">
        <f t="shared" si="43"/>
        <v>25139.799999999996</v>
      </c>
      <c r="N228" s="66">
        <f>N229+N249</f>
        <v>0</v>
      </c>
      <c r="O228" s="67">
        <f t="shared" si="40"/>
        <v>25139.799999999996</v>
      </c>
    </row>
    <row r="229" spans="1:15" s="107" customFormat="1" ht="33" x14ac:dyDescent="0.2">
      <c r="A229" s="64" t="str">
        <f ca="1">IF(ISERROR(MATCH(E229,Код_КЦСР,0)),"",INDIRECT(ADDRESS(MATCH(E229,Код_КЦСР,0)+1,2,,,"КЦСР")))</f>
        <v>Муниципальная программа «Поддержка и развитие малого и среднего предпринимательства в городе Череповце на 2013 – 2022 годы»</v>
      </c>
      <c r="B229" s="26">
        <v>801</v>
      </c>
      <c r="C229" s="65" t="s">
        <v>73</v>
      </c>
      <c r="D229" s="65" t="s">
        <v>61</v>
      </c>
      <c r="E229" s="26" t="s">
        <v>292</v>
      </c>
      <c r="F229" s="26"/>
      <c r="G229" s="66">
        <f>G230+G233</f>
        <v>7301.8</v>
      </c>
      <c r="H229" s="66">
        <f>H230+H233</f>
        <v>7140.4</v>
      </c>
      <c r="I229" s="67">
        <f t="shared" si="41"/>
        <v>14442.2</v>
      </c>
      <c r="J229" s="66">
        <f>J230+J233</f>
        <v>0</v>
      </c>
      <c r="K229" s="67">
        <f t="shared" si="42"/>
        <v>14442.2</v>
      </c>
      <c r="L229" s="66">
        <f>L230+L233</f>
        <v>1264.5999999999999</v>
      </c>
      <c r="M229" s="67">
        <f t="shared" si="43"/>
        <v>15706.800000000001</v>
      </c>
      <c r="N229" s="66">
        <f>N230+N233</f>
        <v>0</v>
      </c>
      <c r="O229" s="67">
        <f t="shared" si="40"/>
        <v>15706.800000000001</v>
      </c>
    </row>
    <row r="230" spans="1:15" s="107" customFormat="1" ht="33" x14ac:dyDescent="0.2">
      <c r="A230" s="64" t="str">
        <f ca="1">IF(ISERROR(MATCH(E230,Код_КЦСР,0)),"",INDIRECT(ADDRESS(MATCH(E230,Код_КЦСР,0)+1,2,,,"КЦСР")))</f>
        <v>Формирование инфраструктуры поддержки малого и среднего предпринимательства</v>
      </c>
      <c r="B230" s="26">
        <v>801</v>
      </c>
      <c r="C230" s="65" t="s">
        <v>73</v>
      </c>
      <c r="D230" s="65" t="s">
        <v>61</v>
      </c>
      <c r="E230" s="26" t="s">
        <v>293</v>
      </c>
      <c r="F230" s="26"/>
      <c r="G230" s="66">
        <f t="shared" ref="G230:N231" si="46">G231</f>
        <v>3072.7</v>
      </c>
      <c r="H230" s="66">
        <f t="shared" si="46"/>
        <v>-72.2</v>
      </c>
      <c r="I230" s="67">
        <f t="shared" si="41"/>
        <v>3000.5</v>
      </c>
      <c r="J230" s="66">
        <f t="shared" si="46"/>
        <v>0</v>
      </c>
      <c r="K230" s="67">
        <f t="shared" si="42"/>
        <v>3000.5</v>
      </c>
      <c r="L230" s="66">
        <f t="shared" si="46"/>
        <v>1014.6</v>
      </c>
      <c r="M230" s="67">
        <f t="shared" si="43"/>
        <v>4015.1</v>
      </c>
      <c r="N230" s="66">
        <f t="shared" si="46"/>
        <v>0</v>
      </c>
      <c r="O230" s="67">
        <f t="shared" si="40"/>
        <v>4015.1</v>
      </c>
    </row>
    <row r="231" spans="1:15" s="107" customFormat="1" ht="33" x14ac:dyDescent="0.2">
      <c r="A231" s="64" t="str">
        <f ca="1">IF(ISERROR(MATCH(F231,Код_КВР,0)),"",INDIRECT(ADDRESS(MATCH(F231,Код_КВР,0)+1,2,,,"КВР")))</f>
        <v>Предоставление субсидий бюджетным, автономным учреждениям и иным некоммерческим организациям</v>
      </c>
      <c r="B231" s="26">
        <v>801</v>
      </c>
      <c r="C231" s="65" t="s">
        <v>73</v>
      </c>
      <c r="D231" s="65" t="s">
        <v>61</v>
      </c>
      <c r="E231" s="26" t="s">
        <v>293</v>
      </c>
      <c r="F231" s="26">
        <v>600</v>
      </c>
      <c r="G231" s="66">
        <f t="shared" si="46"/>
        <v>3072.7</v>
      </c>
      <c r="H231" s="66">
        <f t="shared" si="46"/>
        <v>-72.2</v>
      </c>
      <c r="I231" s="67">
        <f t="shared" si="41"/>
        <v>3000.5</v>
      </c>
      <c r="J231" s="66">
        <f t="shared" si="46"/>
        <v>0</v>
      </c>
      <c r="K231" s="67">
        <f t="shared" si="42"/>
        <v>3000.5</v>
      </c>
      <c r="L231" s="66">
        <f t="shared" si="46"/>
        <v>1014.6</v>
      </c>
      <c r="M231" s="67">
        <f t="shared" si="43"/>
        <v>4015.1</v>
      </c>
      <c r="N231" s="66">
        <f t="shared" si="46"/>
        <v>0</v>
      </c>
      <c r="O231" s="67">
        <f t="shared" si="40"/>
        <v>4015.1</v>
      </c>
    </row>
    <row r="232" spans="1:15" s="107" customFormat="1" ht="33" x14ac:dyDescent="0.2">
      <c r="A232" s="64" t="str">
        <f ca="1">IF(ISERROR(MATCH(F232,Код_КВР,0)),"",INDIRECT(ADDRESS(MATCH(F232,Код_КВР,0)+1,2,,,"КВР")))</f>
        <v>Субсидии некоммерческим организациям (за исключением государственных (муниципальных) учреждений)</v>
      </c>
      <c r="B232" s="26">
        <v>801</v>
      </c>
      <c r="C232" s="65" t="s">
        <v>73</v>
      </c>
      <c r="D232" s="65" t="s">
        <v>61</v>
      </c>
      <c r="E232" s="26" t="s">
        <v>293</v>
      </c>
      <c r="F232" s="26">
        <v>630</v>
      </c>
      <c r="G232" s="66">
        <v>3072.7</v>
      </c>
      <c r="H232" s="67">
        <v>-72.2</v>
      </c>
      <c r="I232" s="67">
        <f t="shared" si="41"/>
        <v>3000.5</v>
      </c>
      <c r="J232" s="66"/>
      <c r="K232" s="67">
        <f t="shared" si="42"/>
        <v>3000.5</v>
      </c>
      <c r="L232" s="66">
        <f>900.1+114.5</f>
        <v>1014.6</v>
      </c>
      <c r="M232" s="67">
        <f t="shared" si="43"/>
        <v>4015.1</v>
      </c>
      <c r="N232" s="66"/>
      <c r="O232" s="67">
        <f t="shared" si="40"/>
        <v>4015.1</v>
      </c>
    </row>
    <row r="233" spans="1:15" s="107" customFormat="1" ht="21" customHeight="1" x14ac:dyDescent="0.2">
      <c r="A233" s="64" t="str">
        <f ca="1">IF(ISERROR(MATCH(E233,Код_КЦСР,0)),"",INDIRECT(ADDRESS(MATCH(E233,Код_КЦСР,0)+1,2,,,"КЦСР")))</f>
        <v>Финансовая поддержка субъектов малого и среднего предпринимательства</v>
      </c>
      <c r="B233" s="26">
        <v>801</v>
      </c>
      <c r="C233" s="65" t="s">
        <v>73</v>
      </c>
      <c r="D233" s="65" t="s">
        <v>61</v>
      </c>
      <c r="E233" s="26" t="s">
        <v>481</v>
      </c>
      <c r="F233" s="26"/>
      <c r="G233" s="66">
        <f>G234+G237+G243+G246</f>
        <v>4229.1000000000004</v>
      </c>
      <c r="H233" s="66">
        <f>H234+H237+H243+H246</f>
        <v>7212.5999999999995</v>
      </c>
      <c r="I233" s="67">
        <f t="shared" si="41"/>
        <v>11441.7</v>
      </c>
      <c r="J233" s="66">
        <f>J234+J237+J243+J246</f>
        <v>0</v>
      </c>
      <c r="K233" s="67">
        <f t="shared" si="42"/>
        <v>11441.7</v>
      </c>
      <c r="L233" s="66">
        <f>L234+L237+L243+L246+L241</f>
        <v>250</v>
      </c>
      <c r="M233" s="67">
        <f t="shared" si="43"/>
        <v>11691.7</v>
      </c>
      <c r="N233" s="66">
        <f>N234+N237+N243+N246+N241</f>
        <v>0</v>
      </c>
      <c r="O233" s="67">
        <f t="shared" si="40"/>
        <v>11691.7</v>
      </c>
    </row>
    <row r="234" spans="1:15" s="107" customFormat="1" ht="49.5" hidden="1" x14ac:dyDescent="0.2">
      <c r="A234" s="64" t="str">
        <f ca="1">IF(ISERROR(MATCH(E234,Код_КЦСР,0)),"",INDIRECT(ADDRESS(MATCH(E234,Код_КЦСР,0)+1,2,,,"КЦСР")))</f>
        <v>Поддержка и развитие малого и среднего предпринимательства муниципального образования, вошедшего в список моногородов, за счет средств областного бюджета</v>
      </c>
      <c r="B234" s="26">
        <v>801</v>
      </c>
      <c r="C234" s="65" t="s">
        <v>73</v>
      </c>
      <c r="D234" s="65" t="s">
        <v>61</v>
      </c>
      <c r="E234" s="26" t="s">
        <v>483</v>
      </c>
      <c r="F234" s="26"/>
      <c r="G234" s="66">
        <f t="shared" ref="G234:N238" si="47">G235</f>
        <v>0</v>
      </c>
      <c r="H234" s="66">
        <f t="shared" si="47"/>
        <v>0</v>
      </c>
      <c r="I234" s="67">
        <f t="shared" si="41"/>
        <v>0</v>
      </c>
      <c r="J234" s="66">
        <f t="shared" si="47"/>
        <v>0</v>
      </c>
      <c r="K234" s="67">
        <f t="shared" si="42"/>
        <v>0</v>
      </c>
      <c r="L234" s="66">
        <f t="shared" si="47"/>
        <v>0</v>
      </c>
      <c r="M234" s="67">
        <f t="shared" si="43"/>
        <v>0</v>
      </c>
      <c r="N234" s="66">
        <f t="shared" si="47"/>
        <v>0</v>
      </c>
      <c r="O234" s="67">
        <f t="shared" si="40"/>
        <v>0</v>
      </c>
    </row>
    <row r="235" spans="1:15" s="107" customFormat="1" hidden="1" x14ac:dyDescent="0.2">
      <c r="A235" s="64" t="str">
        <f ca="1">IF(ISERROR(MATCH(F235,Код_КВР,0)),"",INDIRECT(ADDRESS(MATCH(F235,Код_КВР,0)+1,2,,,"КВР")))</f>
        <v>Иные бюджетные ассигнования</v>
      </c>
      <c r="B235" s="26">
        <v>801</v>
      </c>
      <c r="C235" s="65" t="s">
        <v>73</v>
      </c>
      <c r="D235" s="65" t="s">
        <v>61</v>
      </c>
      <c r="E235" s="26" t="s">
        <v>483</v>
      </c>
      <c r="F235" s="26">
        <v>800</v>
      </c>
      <c r="G235" s="66">
        <f t="shared" si="47"/>
        <v>0</v>
      </c>
      <c r="H235" s="66">
        <f t="shared" si="47"/>
        <v>0</v>
      </c>
      <c r="I235" s="67">
        <f t="shared" si="41"/>
        <v>0</v>
      </c>
      <c r="J235" s="66">
        <f t="shared" si="47"/>
        <v>0</v>
      </c>
      <c r="K235" s="67">
        <f t="shared" si="42"/>
        <v>0</v>
      </c>
      <c r="L235" s="66">
        <f t="shared" si="47"/>
        <v>0</v>
      </c>
      <c r="M235" s="67">
        <f t="shared" si="43"/>
        <v>0</v>
      </c>
      <c r="N235" s="66">
        <f t="shared" si="47"/>
        <v>0</v>
      </c>
      <c r="O235" s="67">
        <f t="shared" si="40"/>
        <v>0</v>
      </c>
    </row>
    <row r="236" spans="1:15" s="107" customFormat="1" ht="49.5" hidden="1" x14ac:dyDescent="0.2">
      <c r="A236" s="64" t="str">
        <f ca="1">IF(ISERROR(MATCH(F236,Код_КВР,0)),"",INDIRECT(ADDRESS(MATCH(F236,Код_КВР,0)+1,2,,,"КВР")))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236" s="26">
        <v>801</v>
      </c>
      <c r="C236" s="65" t="s">
        <v>73</v>
      </c>
      <c r="D236" s="65" t="s">
        <v>61</v>
      </c>
      <c r="E236" s="26" t="s">
        <v>483</v>
      </c>
      <c r="F236" s="26">
        <v>810</v>
      </c>
      <c r="G236" s="66"/>
      <c r="H236" s="66"/>
      <c r="I236" s="67">
        <f t="shared" si="41"/>
        <v>0</v>
      </c>
      <c r="J236" s="66"/>
      <c r="K236" s="67">
        <f t="shared" si="42"/>
        <v>0</v>
      </c>
      <c r="L236" s="66"/>
      <c r="M236" s="67">
        <f t="shared" si="43"/>
        <v>0</v>
      </c>
      <c r="N236" s="66"/>
      <c r="O236" s="67">
        <f t="shared" si="40"/>
        <v>0</v>
      </c>
    </row>
    <row r="237" spans="1:15" s="107" customFormat="1" ht="49.5" hidden="1" x14ac:dyDescent="0.2">
      <c r="A237" s="64" t="str">
        <f ca="1">IF(ISERROR(MATCH(E237,Код_КЦСР,0)),"",INDIRECT(ADDRESS(MATCH(E237,Код_КЦСР,0)+1,2,,,"КЦСР")))</f>
        <v>Поддержка и развитие малого и среднего предпринимательства муниципального образования, вошедшего в список моногородов, в рамках софинансирования с вышестоящим бюджетом</v>
      </c>
      <c r="B237" s="26">
        <v>801</v>
      </c>
      <c r="C237" s="65" t="s">
        <v>73</v>
      </c>
      <c r="D237" s="65" t="s">
        <v>61</v>
      </c>
      <c r="E237" s="26" t="s">
        <v>498</v>
      </c>
      <c r="F237" s="26"/>
      <c r="G237" s="66">
        <f t="shared" si="47"/>
        <v>0</v>
      </c>
      <c r="H237" s="66">
        <f t="shared" si="47"/>
        <v>0</v>
      </c>
      <c r="I237" s="67">
        <f t="shared" si="41"/>
        <v>0</v>
      </c>
      <c r="J237" s="66">
        <f t="shared" si="47"/>
        <v>0</v>
      </c>
      <c r="K237" s="67">
        <f t="shared" si="42"/>
        <v>0</v>
      </c>
      <c r="L237" s="66">
        <f t="shared" si="47"/>
        <v>0</v>
      </c>
      <c r="M237" s="67">
        <f t="shared" si="43"/>
        <v>0</v>
      </c>
      <c r="N237" s="66">
        <f t="shared" si="47"/>
        <v>0</v>
      </c>
      <c r="O237" s="67">
        <f t="shared" si="40"/>
        <v>0</v>
      </c>
    </row>
    <row r="238" spans="1:15" s="107" customFormat="1" hidden="1" x14ac:dyDescent="0.2">
      <c r="A238" s="64" t="str">
        <f ca="1">IF(ISERROR(MATCH(F238,Код_КВР,0)),"",INDIRECT(ADDRESS(MATCH(F238,Код_КВР,0)+1,2,,,"КВР")))</f>
        <v>Иные бюджетные ассигнования</v>
      </c>
      <c r="B238" s="26">
        <v>801</v>
      </c>
      <c r="C238" s="65" t="s">
        <v>73</v>
      </c>
      <c r="D238" s="65" t="s">
        <v>61</v>
      </c>
      <c r="E238" s="26" t="s">
        <v>498</v>
      </c>
      <c r="F238" s="26">
        <v>800</v>
      </c>
      <c r="G238" s="66">
        <f t="shared" si="47"/>
        <v>0</v>
      </c>
      <c r="H238" s="66">
        <f t="shared" si="47"/>
        <v>0</v>
      </c>
      <c r="I238" s="67">
        <f t="shared" si="41"/>
        <v>0</v>
      </c>
      <c r="J238" s="66">
        <f t="shared" si="47"/>
        <v>0</v>
      </c>
      <c r="K238" s="67">
        <f t="shared" si="42"/>
        <v>0</v>
      </c>
      <c r="L238" s="66">
        <f t="shared" si="47"/>
        <v>0</v>
      </c>
      <c r="M238" s="67">
        <f t="shared" si="43"/>
        <v>0</v>
      </c>
      <c r="N238" s="66">
        <f t="shared" si="47"/>
        <v>0</v>
      </c>
      <c r="O238" s="67">
        <f t="shared" si="40"/>
        <v>0</v>
      </c>
    </row>
    <row r="239" spans="1:15" s="107" customFormat="1" ht="49.5" hidden="1" x14ac:dyDescent="0.2">
      <c r="A239" s="64" t="str">
        <f ca="1">IF(ISERROR(MATCH(F239,Код_КВР,0)),"",INDIRECT(ADDRESS(MATCH(F239,Код_КВР,0)+1,2,,,"КВР")))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239" s="26">
        <v>801</v>
      </c>
      <c r="C239" s="65" t="s">
        <v>73</v>
      </c>
      <c r="D239" s="65" t="s">
        <v>61</v>
      </c>
      <c r="E239" s="26" t="s">
        <v>498</v>
      </c>
      <c r="F239" s="26">
        <v>810</v>
      </c>
      <c r="G239" s="66"/>
      <c r="H239" s="66"/>
      <c r="I239" s="67">
        <f t="shared" si="41"/>
        <v>0</v>
      </c>
      <c r="J239" s="66"/>
      <c r="K239" s="67">
        <f t="shared" si="42"/>
        <v>0</v>
      </c>
      <c r="L239" s="66"/>
      <c r="M239" s="67">
        <f t="shared" si="43"/>
        <v>0</v>
      </c>
      <c r="N239" s="66"/>
      <c r="O239" s="67">
        <f t="shared" si="40"/>
        <v>0</v>
      </c>
    </row>
    <row r="240" spans="1:15" s="133" customFormat="1" ht="40.5" customHeight="1" x14ac:dyDescent="0.2">
      <c r="A240" s="64" t="str">
        <f ca="1">IF(ISERROR(MATCH(E240,Код_КЦСР,0)),"",INDIRECT(ADDRESS(MATCH(E240,Код_КЦСР,0)+1,2,,,"КЦСР")))</f>
        <v>Финансовая поддержка субъектов малого и среднего предпринимательства, за счет средств городского бюджета</v>
      </c>
      <c r="B240" s="26">
        <v>801</v>
      </c>
      <c r="C240" s="65" t="s">
        <v>73</v>
      </c>
      <c r="D240" s="65" t="s">
        <v>61</v>
      </c>
      <c r="E240" s="26" t="s">
        <v>683</v>
      </c>
      <c r="F240" s="26"/>
      <c r="G240" s="66"/>
      <c r="H240" s="66"/>
      <c r="I240" s="67"/>
      <c r="J240" s="66"/>
      <c r="K240" s="67"/>
      <c r="L240" s="66">
        <f>L241</f>
        <v>250</v>
      </c>
      <c r="M240" s="67">
        <f t="shared" si="43"/>
        <v>250</v>
      </c>
      <c r="N240" s="66">
        <f>N241</f>
        <v>0</v>
      </c>
      <c r="O240" s="67">
        <f t="shared" si="40"/>
        <v>250</v>
      </c>
    </row>
    <row r="241" spans="1:15" s="133" customFormat="1" ht="24.75" customHeight="1" x14ac:dyDescent="0.2">
      <c r="A241" s="64" t="str">
        <f ca="1">IF(ISERROR(MATCH(F241,Код_КВР,0)),"",INDIRECT(ADDRESS(MATCH(F241,Код_КВР,0)+1,2,,,"КВР")))</f>
        <v>Иные бюджетные ассигнования</v>
      </c>
      <c r="B241" s="26">
        <v>801</v>
      </c>
      <c r="C241" s="65" t="s">
        <v>73</v>
      </c>
      <c r="D241" s="65" t="s">
        <v>61</v>
      </c>
      <c r="E241" s="26" t="s">
        <v>683</v>
      </c>
      <c r="F241" s="26">
        <v>800</v>
      </c>
      <c r="G241" s="66"/>
      <c r="H241" s="66"/>
      <c r="I241" s="67"/>
      <c r="J241" s="66"/>
      <c r="K241" s="67"/>
      <c r="L241" s="66">
        <f>L242</f>
        <v>250</v>
      </c>
      <c r="M241" s="67">
        <f t="shared" si="43"/>
        <v>250</v>
      </c>
      <c r="N241" s="66">
        <f>N242</f>
        <v>0</v>
      </c>
      <c r="O241" s="67">
        <f t="shared" si="40"/>
        <v>250</v>
      </c>
    </row>
    <row r="242" spans="1:15" s="133" customFormat="1" ht="49.5" x14ac:dyDescent="0.2">
      <c r="A242" s="64" t="str">
        <f ca="1">IF(ISERROR(MATCH(F242,Код_КВР,0)),"",INDIRECT(ADDRESS(MATCH(F242,Код_КВР,0)+1,2,,,"КВР")))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242" s="26">
        <v>801</v>
      </c>
      <c r="C242" s="65" t="s">
        <v>73</v>
      </c>
      <c r="D242" s="65" t="s">
        <v>61</v>
      </c>
      <c r="E242" s="26" t="s">
        <v>683</v>
      </c>
      <c r="F242" s="26">
        <v>810</v>
      </c>
      <c r="G242" s="66"/>
      <c r="H242" s="66"/>
      <c r="I242" s="67"/>
      <c r="J242" s="66"/>
      <c r="K242" s="67"/>
      <c r="L242" s="66">
        <v>250</v>
      </c>
      <c r="M242" s="67">
        <f t="shared" si="43"/>
        <v>250</v>
      </c>
      <c r="N242" s="66"/>
      <c r="O242" s="67">
        <f t="shared" si="40"/>
        <v>250</v>
      </c>
    </row>
    <row r="243" spans="1:15" s="107" customFormat="1" ht="69" customHeight="1" x14ac:dyDescent="0.2">
      <c r="A243" s="64" t="str">
        <f ca="1">IF(ISERROR(MATCH(E243,Код_КЦСР,0)),"",INDIRECT(ADDRESS(MATCH(E243,Код_КЦСР,0)+1,2,,,"КЦСР")))</f>
        <v>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предпринимательства, в рамках софинансирования с вышестоящим бюджетом</v>
      </c>
      <c r="B243" s="26">
        <v>801</v>
      </c>
      <c r="C243" s="65" t="s">
        <v>73</v>
      </c>
      <c r="D243" s="65" t="s">
        <v>61</v>
      </c>
      <c r="E243" s="26" t="s">
        <v>616</v>
      </c>
      <c r="F243" s="26"/>
      <c r="G243" s="66">
        <f>G244</f>
        <v>42.3</v>
      </c>
      <c r="H243" s="66">
        <f>H244</f>
        <v>72.2</v>
      </c>
      <c r="I243" s="67">
        <f t="shared" si="41"/>
        <v>114.5</v>
      </c>
      <c r="J243" s="66">
        <f>J244</f>
        <v>0</v>
      </c>
      <c r="K243" s="67">
        <f t="shared" si="42"/>
        <v>114.5</v>
      </c>
      <c r="L243" s="66">
        <f>L244</f>
        <v>0</v>
      </c>
      <c r="M243" s="67">
        <f t="shared" si="43"/>
        <v>114.5</v>
      </c>
      <c r="N243" s="66">
        <f>N244</f>
        <v>0</v>
      </c>
      <c r="O243" s="67">
        <f t="shared" si="40"/>
        <v>114.5</v>
      </c>
    </row>
    <row r="244" spans="1:15" s="107" customFormat="1" x14ac:dyDescent="0.2">
      <c r="A244" s="64" t="str">
        <f ca="1">IF(ISERROR(MATCH(F244,Код_КВР,0)),"",INDIRECT(ADDRESS(MATCH(F244,Код_КВР,0)+1,2,,,"КВР")))</f>
        <v>Иные бюджетные ассигнования</v>
      </c>
      <c r="B244" s="26">
        <v>801</v>
      </c>
      <c r="C244" s="65" t="s">
        <v>73</v>
      </c>
      <c r="D244" s="65" t="s">
        <v>61</v>
      </c>
      <c r="E244" s="26" t="s">
        <v>616</v>
      </c>
      <c r="F244" s="26">
        <v>800</v>
      </c>
      <c r="G244" s="66">
        <f>G245</f>
        <v>42.3</v>
      </c>
      <c r="H244" s="66">
        <f>H245</f>
        <v>72.2</v>
      </c>
      <c r="I244" s="67">
        <f t="shared" si="41"/>
        <v>114.5</v>
      </c>
      <c r="J244" s="66">
        <f>J245</f>
        <v>0</v>
      </c>
      <c r="K244" s="67">
        <f t="shared" si="42"/>
        <v>114.5</v>
      </c>
      <c r="L244" s="66">
        <f>L245</f>
        <v>0</v>
      </c>
      <c r="M244" s="67">
        <f t="shared" si="43"/>
        <v>114.5</v>
      </c>
      <c r="N244" s="66">
        <f>N245</f>
        <v>0</v>
      </c>
      <c r="O244" s="67">
        <f t="shared" si="40"/>
        <v>114.5</v>
      </c>
    </row>
    <row r="245" spans="1:15" s="107" customFormat="1" ht="49.5" x14ac:dyDescent="0.2">
      <c r="A245" s="64" t="str">
        <f ca="1">IF(ISERROR(MATCH(F245,Код_КВР,0)),"",INDIRECT(ADDRESS(MATCH(F245,Код_КВР,0)+1,2,,,"КВР")))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245" s="26">
        <v>801</v>
      </c>
      <c r="C245" s="65" t="s">
        <v>73</v>
      </c>
      <c r="D245" s="65" t="s">
        <v>61</v>
      </c>
      <c r="E245" s="26" t="s">
        <v>616</v>
      </c>
      <c r="F245" s="26">
        <v>810</v>
      </c>
      <c r="G245" s="88">
        <v>42.3</v>
      </c>
      <c r="H245" s="67">
        <v>72.2</v>
      </c>
      <c r="I245" s="67">
        <f t="shared" si="41"/>
        <v>114.5</v>
      </c>
      <c r="J245" s="88"/>
      <c r="K245" s="67">
        <f t="shared" si="42"/>
        <v>114.5</v>
      </c>
      <c r="L245" s="88"/>
      <c r="M245" s="67">
        <f t="shared" si="43"/>
        <v>114.5</v>
      </c>
      <c r="N245" s="88"/>
      <c r="O245" s="67">
        <f t="shared" si="40"/>
        <v>114.5</v>
      </c>
    </row>
    <row r="246" spans="1:15" s="107" customFormat="1" ht="66.75" customHeight="1" x14ac:dyDescent="0.2">
      <c r="A246" s="64" t="str">
        <f ca="1">IF(ISERROR(MATCH(E246,Код_КЦСР,0)),"",INDIRECT(ADDRESS(MATCH(E246,Код_КЦСР,0)+1,2,,,"КЦСР")))</f>
        <v>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предпринимательства, за счет средств вышестоящих бюджетов</v>
      </c>
      <c r="B246" s="26">
        <v>801</v>
      </c>
      <c r="C246" s="65" t="s">
        <v>73</v>
      </c>
      <c r="D246" s="65" t="s">
        <v>61</v>
      </c>
      <c r="E246" s="26" t="s">
        <v>617</v>
      </c>
      <c r="F246" s="26"/>
      <c r="G246" s="66">
        <f>G247</f>
        <v>4186.8</v>
      </c>
      <c r="H246" s="66">
        <f>H247</f>
        <v>7140.4</v>
      </c>
      <c r="I246" s="67">
        <f t="shared" si="41"/>
        <v>11327.2</v>
      </c>
      <c r="J246" s="66">
        <f>J247</f>
        <v>0</v>
      </c>
      <c r="K246" s="67">
        <f t="shared" si="42"/>
        <v>11327.2</v>
      </c>
      <c r="L246" s="66">
        <f>L247</f>
        <v>0</v>
      </c>
      <c r="M246" s="67">
        <f t="shared" si="43"/>
        <v>11327.2</v>
      </c>
      <c r="N246" s="66">
        <f>N247</f>
        <v>0</v>
      </c>
      <c r="O246" s="67">
        <f t="shared" si="40"/>
        <v>11327.2</v>
      </c>
    </row>
    <row r="247" spans="1:15" s="107" customFormat="1" ht="21" customHeight="1" x14ac:dyDescent="0.2">
      <c r="A247" s="64" t="str">
        <f ca="1">IF(ISERROR(MATCH(F247,Код_КВР,0)),"",INDIRECT(ADDRESS(MATCH(F247,Код_КВР,0)+1,2,,,"КВР")))</f>
        <v>Иные бюджетные ассигнования</v>
      </c>
      <c r="B247" s="26">
        <v>801</v>
      </c>
      <c r="C247" s="65" t="s">
        <v>73</v>
      </c>
      <c r="D247" s="65" t="s">
        <v>61</v>
      </c>
      <c r="E247" s="26" t="s">
        <v>617</v>
      </c>
      <c r="F247" s="26">
        <v>800</v>
      </c>
      <c r="G247" s="66">
        <f>G248</f>
        <v>4186.8</v>
      </c>
      <c r="H247" s="66">
        <f>H248</f>
        <v>7140.4</v>
      </c>
      <c r="I247" s="67">
        <f t="shared" si="41"/>
        <v>11327.2</v>
      </c>
      <c r="J247" s="66">
        <f>J248</f>
        <v>0</v>
      </c>
      <c r="K247" s="67">
        <f t="shared" si="42"/>
        <v>11327.2</v>
      </c>
      <c r="L247" s="66">
        <f>L248</f>
        <v>0</v>
      </c>
      <c r="M247" s="67">
        <f t="shared" si="43"/>
        <v>11327.2</v>
      </c>
      <c r="N247" s="66">
        <f>N248</f>
        <v>0</v>
      </c>
      <c r="O247" s="67">
        <f t="shared" si="40"/>
        <v>11327.2</v>
      </c>
    </row>
    <row r="248" spans="1:15" s="107" customFormat="1" ht="51.75" customHeight="1" x14ac:dyDescent="0.2">
      <c r="A248" s="64" t="str">
        <f ca="1">IF(ISERROR(MATCH(F248,Код_КВР,0)),"",INDIRECT(ADDRESS(MATCH(F248,Код_КВР,0)+1,2,,,"КВР")))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248" s="26">
        <v>801</v>
      </c>
      <c r="C248" s="65" t="s">
        <v>73</v>
      </c>
      <c r="D248" s="65" t="s">
        <v>61</v>
      </c>
      <c r="E248" s="26" t="s">
        <v>617</v>
      </c>
      <c r="F248" s="26">
        <v>810</v>
      </c>
      <c r="G248" s="66">
        <v>4186.8</v>
      </c>
      <c r="H248" s="67">
        <v>7140.4</v>
      </c>
      <c r="I248" s="67">
        <f t="shared" si="41"/>
        <v>11327.2</v>
      </c>
      <c r="J248" s="66"/>
      <c r="K248" s="67">
        <f t="shared" si="42"/>
        <v>11327.2</v>
      </c>
      <c r="L248" s="66"/>
      <c r="M248" s="67">
        <f t="shared" si="43"/>
        <v>11327.2</v>
      </c>
      <c r="N248" s="66"/>
      <c r="O248" s="67">
        <f t="shared" si="40"/>
        <v>11327.2</v>
      </c>
    </row>
    <row r="249" spans="1:15" s="107" customFormat="1" ht="33" x14ac:dyDescent="0.2">
      <c r="A249" s="64" t="str">
        <f ca="1">IF(ISERROR(MATCH(E249,Код_КЦСР,0)),"",INDIRECT(ADDRESS(MATCH(E249,Код_КЦСР,0)+1,2,,,"КЦСР")))</f>
        <v>Муниципальная программа «Повышение инвестиционной привлекательности города Череповца» на 2015 – 2022 годы</v>
      </c>
      <c r="B249" s="26">
        <v>801</v>
      </c>
      <c r="C249" s="65" t="s">
        <v>73</v>
      </c>
      <c r="D249" s="65" t="s">
        <v>61</v>
      </c>
      <c r="E249" s="26" t="s">
        <v>295</v>
      </c>
      <c r="F249" s="26"/>
      <c r="G249" s="66">
        <f>G250+G253+G256</f>
        <v>9433</v>
      </c>
      <c r="H249" s="66">
        <f>H250+H253+H256</f>
        <v>0</v>
      </c>
      <c r="I249" s="67">
        <f t="shared" si="41"/>
        <v>9433</v>
      </c>
      <c r="J249" s="66">
        <f>J250+J253+J256</f>
        <v>0</v>
      </c>
      <c r="K249" s="67">
        <f t="shared" si="42"/>
        <v>9433</v>
      </c>
      <c r="L249" s="66">
        <f>L250+L253+L256</f>
        <v>0</v>
      </c>
      <c r="M249" s="67">
        <f t="shared" si="43"/>
        <v>9433</v>
      </c>
      <c r="N249" s="66">
        <f>N250+N253+N256</f>
        <v>0</v>
      </c>
      <c r="O249" s="67">
        <f t="shared" si="40"/>
        <v>9433</v>
      </c>
    </row>
    <row r="250" spans="1:15" s="107" customFormat="1" ht="33" x14ac:dyDescent="0.2">
      <c r="A250" s="64" t="str">
        <f ca="1">IF(ISERROR(MATCH(E250,Код_КЦСР,0)),"",INDIRECT(ADDRESS(MATCH(E250,Код_КЦСР,0)+1,2,,,"КЦСР")))</f>
        <v>Формирование инвестиционной инфраструктуры в муниципальном образовании «Город Череповец»</v>
      </c>
      <c r="B250" s="26">
        <v>801</v>
      </c>
      <c r="C250" s="65" t="s">
        <v>73</v>
      </c>
      <c r="D250" s="65" t="s">
        <v>61</v>
      </c>
      <c r="E250" s="26" t="s">
        <v>296</v>
      </c>
      <c r="F250" s="26"/>
      <c r="G250" s="66">
        <f t="shared" ref="G250:N251" si="48">G251</f>
        <v>3939</v>
      </c>
      <c r="H250" s="66">
        <f t="shared" si="48"/>
        <v>0</v>
      </c>
      <c r="I250" s="67">
        <f t="shared" si="41"/>
        <v>3939</v>
      </c>
      <c r="J250" s="66">
        <f t="shared" si="48"/>
        <v>0</v>
      </c>
      <c r="K250" s="67">
        <f t="shared" si="42"/>
        <v>3939</v>
      </c>
      <c r="L250" s="66">
        <f t="shared" si="48"/>
        <v>0</v>
      </c>
      <c r="M250" s="67">
        <f t="shared" si="43"/>
        <v>3939</v>
      </c>
      <c r="N250" s="66">
        <f t="shared" si="48"/>
        <v>0</v>
      </c>
      <c r="O250" s="67">
        <f t="shared" si="40"/>
        <v>3939</v>
      </c>
    </row>
    <row r="251" spans="1:15" s="107" customFormat="1" ht="33" x14ac:dyDescent="0.2">
      <c r="A251" s="64" t="str">
        <f ca="1">IF(ISERROR(MATCH(F251,Код_КВР,0)),"",INDIRECT(ADDRESS(MATCH(F251,Код_КВР,0)+1,2,,,"КВР")))</f>
        <v>Предоставление субсидий бюджетным, автономным учреждениям и иным некоммерческим организациям</v>
      </c>
      <c r="B251" s="26">
        <v>801</v>
      </c>
      <c r="C251" s="65" t="s">
        <v>73</v>
      </c>
      <c r="D251" s="65" t="s">
        <v>61</v>
      </c>
      <c r="E251" s="26" t="s">
        <v>296</v>
      </c>
      <c r="F251" s="26">
        <v>600</v>
      </c>
      <c r="G251" s="66">
        <f t="shared" si="48"/>
        <v>3939</v>
      </c>
      <c r="H251" s="66">
        <f t="shared" si="48"/>
        <v>0</v>
      </c>
      <c r="I251" s="67">
        <f t="shared" si="41"/>
        <v>3939</v>
      </c>
      <c r="J251" s="66">
        <f t="shared" si="48"/>
        <v>0</v>
      </c>
      <c r="K251" s="67">
        <f t="shared" si="42"/>
        <v>3939</v>
      </c>
      <c r="L251" s="66">
        <f t="shared" si="48"/>
        <v>0</v>
      </c>
      <c r="M251" s="67">
        <f t="shared" si="43"/>
        <v>3939</v>
      </c>
      <c r="N251" s="66">
        <f t="shared" si="48"/>
        <v>0</v>
      </c>
      <c r="O251" s="67">
        <f t="shared" si="40"/>
        <v>3939</v>
      </c>
    </row>
    <row r="252" spans="1:15" s="107" customFormat="1" ht="33" x14ac:dyDescent="0.2">
      <c r="A252" s="64" t="str">
        <f ca="1">IF(ISERROR(MATCH(F252,Код_КВР,0)),"",INDIRECT(ADDRESS(MATCH(F252,Код_КВР,0)+1,2,,,"КВР")))</f>
        <v>Субсидии некоммерческим организациям (за исключением государственных (муниципальных) учреждений)</v>
      </c>
      <c r="B252" s="26">
        <v>801</v>
      </c>
      <c r="C252" s="65" t="s">
        <v>73</v>
      </c>
      <c r="D252" s="65" t="s">
        <v>61</v>
      </c>
      <c r="E252" s="26" t="s">
        <v>296</v>
      </c>
      <c r="F252" s="26">
        <v>630</v>
      </c>
      <c r="G252" s="66">
        <v>3939</v>
      </c>
      <c r="H252" s="67"/>
      <c r="I252" s="67">
        <f t="shared" si="41"/>
        <v>3939</v>
      </c>
      <c r="J252" s="66"/>
      <c r="K252" s="67">
        <f t="shared" si="42"/>
        <v>3939</v>
      </c>
      <c r="L252" s="66"/>
      <c r="M252" s="67">
        <f t="shared" si="43"/>
        <v>3939</v>
      </c>
      <c r="N252" s="66"/>
      <c r="O252" s="67">
        <f t="shared" si="40"/>
        <v>3939</v>
      </c>
    </row>
    <row r="253" spans="1:15" s="107" customFormat="1" x14ac:dyDescent="0.2">
      <c r="A253" s="64" t="str">
        <f ca="1">IF(ISERROR(MATCH(E253,Код_КЦСР,0)),"",INDIRECT(ADDRESS(MATCH(E253,Код_КЦСР,0)+1,2,,,"КЦСР")))</f>
        <v>Комплексное сопровождение инвестиционных проектов</v>
      </c>
      <c r="B253" s="26">
        <v>801</v>
      </c>
      <c r="C253" s="65" t="s">
        <v>73</v>
      </c>
      <c r="D253" s="65" t="s">
        <v>61</v>
      </c>
      <c r="E253" s="26" t="s">
        <v>297</v>
      </c>
      <c r="F253" s="26"/>
      <c r="G253" s="66">
        <f t="shared" ref="G253:N254" si="49">G254</f>
        <v>2036.7</v>
      </c>
      <c r="H253" s="66">
        <f t="shared" si="49"/>
        <v>0</v>
      </c>
      <c r="I253" s="67">
        <f t="shared" si="41"/>
        <v>2036.7</v>
      </c>
      <c r="J253" s="66">
        <f t="shared" si="49"/>
        <v>0</v>
      </c>
      <c r="K253" s="67">
        <f t="shared" si="42"/>
        <v>2036.7</v>
      </c>
      <c r="L253" s="66">
        <f t="shared" si="49"/>
        <v>0</v>
      </c>
      <c r="M253" s="67">
        <f t="shared" si="43"/>
        <v>2036.7</v>
      </c>
      <c r="N253" s="66">
        <f t="shared" si="49"/>
        <v>0</v>
      </c>
      <c r="O253" s="67">
        <f t="shared" si="40"/>
        <v>2036.7</v>
      </c>
    </row>
    <row r="254" spans="1:15" s="107" customFormat="1" ht="33" x14ac:dyDescent="0.2">
      <c r="A254" s="64" t="str">
        <f ca="1">IF(ISERROR(MATCH(F254,Код_КВР,0)),"",INDIRECT(ADDRESS(MATCH(F254,Код_КВР,0)+1,2,,,"КВР")))</f>
        <v>Предоставление субсидий бюджетным, автономным учреждениям и иным некоммерческим организациям</v>
      </c>
      <c r="B254" s="26">
        <v>801</v>
      </c>
      <c r="C254" s="65" t="s">
        <v>73</v>
      </c>
      <c r="D254" s="65" t="s">
        <v>61</v>
      </c>
      <c r="E254" s="26" t="s">
        <v>297</v>
      </c>
      <c r="F254" s="26">
        <v>600</v>
      </c>
      <c r="G254" s="66">
        <f t="shared" si="49"/>
        <v>2036.7</v>
      </c>
      <c r="H254" s="66">
        <f t="shared" si="49"/>
        <v>0</v>
      </c>
      <c r="I254" s="67">
        <f t="shared" si="41"/>
        <v>2036.7</v>
      </c>
      <c r="J254" s="66">
        <f t="shared" si="49"/>
        <v>0</v>
      </c>
      <c r="K254" s="67">
        <f t="shared" si="42"/>
        <v>2036.7</v>
      </c>
      <c r="L254" s="66">
        <f t="shared" si="49"/>
        <v>0</v>
      </c>
      <c r="M254" s="67">
        <f t="shared" si="43"/>
        <v>2036.7</v>
      </c>
      <c r="N254" s="66">
        <f t="shared" si="49"/>
        <v>0</v>
      </c>
      <c r="O254" s="67">
        <f t="shared" si="40"/>
        <v>2036.7</v>
      </c>
    </row>
    <row r="255" spans="1:15" s="107" customFormat="1" ht="33" x14ac:dyDescent="0.2">
      <c r="A255" s="64" t="str">
        <f ca="1">IF(ISERROR(MATCH(F255,Код_КВР,0)),"",INDIRECT(ADDRESS(MATCH(F255,Код_КВР,0)+1,2,,,"КВР")))</f>
        <v>Субсидии некоммерческим организациям (за исключением государственных (муниципальных) учреждений)</v>
      </c>
      <c r="B255" s="26">
        <v>801</v>
      </c>
      <c r="C255" s="65" t="s">
        <v>73</v>
      </c>
      <c r="D255" s="65" t="s">
        <v>61</v>
      </c>
      <c r="E255" s="26" t="s">
        <v>297</v>
      </c>
      <c r="F255" s="26">
        <v>630</v>
      </c>
      <c r="G255" s="66">
        <v>2036.7</v>
      </c>
      <c r="H255" s="67"/>
      <c r="I255" s="67">
        <f t="shared" si="41"/>
        <v>2036.7</v>
      </c>
      <c r="J255" s="66"/>
      <c r="K255" s="67">
        <f t="shared" si="42"/>
        <v>2036.7</v>
      </c>
      <c r="L255" s="66"/>
      <c r="M255" s="67">
        <f t="shared" si="43"/>
        <v>2036.7</v>
      </c>
      <c r="N255" s="66"/>
      <c r="O255" s="67">
        <f t="shared" si="40"/>
        <v>2036.7</v>
      </c>
    </row>
    <row r="256" spans="1:15" s="107" customFormat="1" ht="33" x14ac:dyDescent="0.2">
      <c r="A256" s="64" t="str">
        <f ca="1">IF(ISERROR(MATCH(E256,Код_КЦСР,0)),"",INDIRECT(ADDRESS(MATCH(E256,Код_КЦСР,0)+1,2,,,"КЦСР")))</f>
        <v>Продвижение инвестиционных возможностей муниципального образования «Город Череповец»</v>
      </c>
      <c r="B256" s="26">
        <v>801</v>
      </c>
      <c r="C256" s="65" t="s">
        <v>73</v>
      </c>
      <c r="D256" s="65" t="s">
        <v>61</v>
      </c>
      <c r="E256" s="26" t="s">
        <v>298</v>
      </c>
      <c r="F256" s="26"/>
      <c r="G256" s="66">
        <f t="shared" ref="G256:N257" si="50">G257</f>
        <v>3457.3</v>
      </c>
      <c r="H256" s="66">
        <f t="shared" si="50"/>
        <v>0</v>
      </c>
      <c r="I256" s="67">
        <f t="shared" si="41"/>
        <v>3457.3</v>
      </c>
      <c r="J256" s="66">
        <f t="shared" si="50"/>
        <v>0</v>
      </c>
      <c r="K256" s="67">
        <f t="shared" si="42"/>
        <v>3457.3</v>
      </c>
      <c r="L256" s="66">
        <f t="shared" si="50"/>
        <v>0</v>
      </c>
      <c r="M256" s="67">
        <f t="shared" si="43"/>
        <v>3457.3</v>
      </c>
      <c r="N256" s="66">
        <f t="shared" si="50"/>
        <v>0</v>
      </c>
      <c r="O256" s="67">
        <f t="shared" si="40"/>
        <v>3457.3</v>
      </c>
    </row>
    <row r="257" spans="1:15" s="107" customFormat="1" ht="33" x14ac:dyDescent="0.2">
      <c r="A257" s="64" t="str">
        <f ca="1">IF(ISERROR(MATCH(F257,Код_КВР,0)),"",INDIRECT(ADDRESS(MATCH(F257,Код_КВР,0)+1,2,,,"КВР")))</f>
        <v>Предоставление субсидий бюджетным, автономным учреждениям и иным некоммерческим организациям</v>
      </c>
      <c r="B257" s="26">
        <v>801</v>
      </c>
      <c r="C257" s="65" t="s">
        <v>73</v>
      </c>
      <c r="D257" s="65" t="s">
        <v>61</v>
      </c>
      <c r="E257" s="26" t="s">
        <v>298</v>
      </c>
      <c r="F257" s="26">
        <v>600</v>
      </c>
      <c r="G257" s="66">
        <f t="shared" si="50"/>
        <v>3457.3</v>
      </c>
      <c r="H257" s="66">
        <f t="shared" si="50"/>
        <v>0</v>
      </c>
      <c r="I257" s="67">
        <f t="shared" si="41"/>
        <v>3457.3</v>
      </c>
      <c r="J257" s="66">
        <f t="shared" si="50"/>
        <v>0</v>
      </c>
      <c r="K257" s="67">
        <f t="shared" si="42"/>
        <v>3457.3</v>
      </c>
      <c r="L257" s="66">
        <f t="shared" si="50"/>
        <v>0</v>
      </c>
      <c r="M257" s="67">
        <f t="shared" si="43"/>
        <v>3457.3</v>
      </c>
      <c r="N257" s="66">
        <f t="shared" si="50"/>
        <v>0</v>
      </c>
      <c r="O257" s="67">
        <f t="shared" si="40"/>
        <v>3457.3</v>
      </c>
    </row>
    <row r="258" spans="1:15" s="107" customFormat="1" ht="33" x14ac:dyDescent="0.2">
      <c r="A258" s="52" t="str">
        <f ca="1">IF(ISERROR(MATCH(F258,Код_КВР,0)),"",INDIRECT(ADDRESS(MATCH(F258,Код_КВР,0)+1,2,,,"КВР")))</f>
        <v>Субсидии некоммерческим организациям (за исключением государственных (муниципальных) учреждений)</v>
      </c>
      <c r="B258" s="25">
        <v>801</v>
      </c>
      <c r="C258" s="87" t="s">
        <v>73</v>
      </c>
      <c r="D258" s="87" t="s">
        <v>61</v>
      </c>
      <c r="E258" s="25" t="s">
        <v>298</v>
      </c>
      <c r="F258" s="25">
        <v>630</v>
      </c>
      <c r="G258" s="88">
        <v>3457.3</v>
      </c>
      <c r="H258" s="67"/>
      <c r="I258" s="67">
        <f t="shared" si="41"/>
        <v>3457.3</v>
      </c>
      <c r="J258" s="88"/>
      <c r="K258" s="67">
        <f t="shared" si="42"/>
        <v>3457.3</v>
      </c>
      <c r="L258" s="88"/>
      <c r="M258" s="67">
        <f t="shared" si="43"/>
        <v>3457.3</v>
      </c>
      <c r="N258" s="88"/>
      <c r="O258" s="67">
        <f t="shared" si="40"/>
        <v>3457.3</v>
      </c>
    </row>
    <row r="259" spans="1:15" s="128" customFormat="1" x14ac:dyDescent="0.2">
      <c r="A259" s="52" t="str">
        <f ca="1">IF(ISERROR(MATCH(C259,Код_Раздел,0)),"",INDIRECT(ADDRESS(MATCH(C259,Код_Раздел,0)+1,2,,,"Раздел")))</f>
        <v>Жилищно-коммунальное хозяйство</v>
      </c>
      <c r="B259" s="25">
        <v>801</v>
      </c>
      <c r="C259" s="87" t="s">
        <v>78</v>
      </c>
      <c r="D259" s="87"/>
      <c r="E259" s="25"/>
      <c r="F259" s="25"/>
      <c r="G259" s="88"/>
      <c r="H259" s="67"/>
      <c r="I259" s="67"/>
      <c r="J259" s="88">
        <f t="shared" ref="J259:N265" si="51">J260</f>
        <v>461.8</v>
      </c>
      <c r="K259" s="67">
        <f t="shared" si="42"/>
        <v>461.8</v>
      </c>
      <c r="L259" s="88">
        <f t="shared" si="51"/>
        <v>0</v>
      </c>
      <c r="M259" s="67">
        <f t="shared" si="43"/>
        <v>461.8</v>
      </c>
      <c r="N259" s="88">
        <f t="shared" si="51"/>
        <v>0</v>
      </c>
      <c r="O259" s="67">
        <f t="shared" si="40"/>
        <v>461.8</v>
      </c>
    </row>
    <row r="260" spans="1:15" s="128" customFormat="1" x14ac:dyDescent="0.2">
      <c r="A260" s="104" t="s">
        <v>106</v>
      </c>
      <c r="B260" s="25">
        <v>801</v>
      </c>
      <c r="C260" s="87" t="s">
        <v>78</v>
      </c>
      <c r="D260" s="87" t="s">
        <v>78</v>
      </c>
      <c r="E260" s="25"/>
      <c r="F260" s="25"/>
      <c r="G260" s="88"/>
      <c r="H260" s="67"/>
      <c r="I260" s="67"/>
      <c r="J260" s="88">
        <f t="shared" si="51"/>
        <v>461.8</v>
      </c>
      <c r="K260" s="67">
        <f t="shared" si="42"/>
        <v>461.8</v>
      </c>
      <c r="L260" s="88">
        <f t="shared" si="51"/>
        <v>0</v>
      </c>
      <c r="M260" s="67">
        <f t="shared" si="43"/>
        <v>461.8</v>
      </c>
      <c r="N260" s="88">
        <f t="shared" si="51"/>
        <v>0</v>
      </c>
      <c r="O260" s="67">
        <f t="shared" si="40"/>
        <v>461.8</v>
      </c>
    </row>
    <row r="261" spans="1:15" s="128" customFormat="1" ht="22.5" customHeight="1" x14ac:dyDescent="0.2">
      <c r="A261" s="52" t="str">
        <f ca="1">IF(ISERROR(MATCH(E261,Код_КЦСР,0)),"",INDIRECT(ADDRESS(MATCH(E261,Код_КЦСР,0)+1,2,,,"КЦСР")))</f>
        <v>Расходы, не включенные в муниципальные программы города Череповца</v>
      </c>
      <c r="B261" s="25">
        <v>801</v>
      </c>
      <c r="C261" s="87" t="s">
        <v>78</v>
      </c>
      <c r="D261" s="87" t="s">
        <v>78</v>
      </c>
      <c r="E261" s="25" t="s">
        <v>399</v>
      </c>
      <c r="F261" s="25"/>
      <c r="G261" s="88"/>
      <c r="H261" s="67"/>
      <c r="I261" s="67"/>
      <c r="J261" s="88">
        <f t="shared" si="51"/>
        <v>461.8</v>
      </c>
      <c r="K261" s="67">
        <f t="shared" si="42"/>
        <v>461.8</v>
      </c>
      <c r="L261" s="88">
        <f t="shared" si="51"/>
        <v>0</v>
      </c>
      <c r="M261" s="67">
        <f t="shared" si="43"/>
        <v>461.8</v>
      </c>
      <c r="N261" s="88">
        <f t="shared" si="51"/>
        <v>0</v>
      </c>
      <c r="O261" s="67">
        <f t="shared" si="40"/>
        <v>461.8</v>
      </c>
    </row>
    <row r="262" spans="1:15" s="128" customFormat="1" ht="35.25" customHeight="1" x14ac:dyDescent="0.2">
      <c r="A262" s="52" t="str">
        <f ca="1">IF(ISERROR(MATCH(E262,Код_КЦСР,0)),"",INDIRECT(ADDRESS(MATCH(E262,Код_КЦСР,0)+1,2,,,"КЦСР")))</f>
        <v>Руководство и управление в сфере установленных функций органов местного самоуправления</v>
      </c>
      <c r="B262" s="25">
        <v>801</v>
      </c>
      <c r="C262" s="87" t="s">
        <v>78</v>
      </c>
      <c r="D262" s="87" t="s">
        <v>78</v>
      </c>
      <c r="E262" s="25" t="s">
        <v>400</v>
      </c>
      <c r="F262" s="25"/>
      <c r="G262" s="88"/>
      <c r="H262" s="67"/>
      <c r="I262" s="67"/>
      <c r="J262" s="88">
        <f t="shared" si="51"/>
        <v>461.8</v>
      </c>
      <c r="K262" s="67">
        <f t="shared" si="42"/>
        <v>461.8</v>
      </c>
      <c r="L262" s="88">
        <f t="shared" si="51"/>
        <v>0</v>
      </c>
      <c r="M262" s="67">
        <f t="shared" si="43"/>
        <v>461.8</v>
      </c>
      <c r="N262" s="88">
        <f t="shared" si="51"/>
        <v>0</v>
      </c>
      <c r="O262" s="67">
        <f t="shared" si="40"/>
        <v>461.8</v>
      </c>
    </row>
    <row r="263" spans="1:15" s="128" customFormat="1" ht="33" x14ac:dyDescent="0.2">
      <c r="A263" s="52" t="str">
        <f ca="1">IF(ISERROR(MATCH(E263,Код_КЦСР,0)),"",INDIRECT(ADDRESS(MATCH(E263,Код_КЦСР,0)+1,2,,,"КЦСР")))</f>
        <v>Обеспечение деятельности исполнительных органов местного самоуправления</v>
      </c>
      <c r="B263" s="25">
        <v>801</v>
      </c>
      <c r="C263" s="87" t="s">
        <v>78</v>
      </c>
      <c r="D263" s="87" t="s">
        <v>78</v>
      </c>
      <c r="E263" s="25" t="s">
        <v>403</v>
      </c>
      <c r="F263" s="25"/>
      <c r="G263" s="88"/>
      <c r="H263" s="67"/>
      <c r="I263" s="67"/>
      <c r="J263" s="88">
        <f t="shared" si="51"/>
        <v>461.8</v>
      </c>
      <c r="K263" s="67">
        <f t="shared" si="42"/>
        <v>461.8</v>
      </c>
      <c r="L263" s="88">
        <f t="shared" si="51"/>
        <v>0</v>
      </c>
      <c r="M263" s="67">
        <f t="shared" si="43"/>
        <v>461.8</v>
      </c>
      <c r="N263" s="88">
        <f t="shared" si="51"/>
        <v>0</v>
      </c>
      <c r="O263" s="67">
        <f t="shared" si="40"/>
        <v>461.8</v>
      </c>
    </row>
    <row r="264" spans="1:15" s="128" customFormat="1" ht="74.25" customHeight="1" x14ac:dyDescent="0.2">
      <c r="A264" s="52" t="str">
        <f ca="1">IF(ISERROR(MATCH(E264,Код_КЦСР,0)),"",INDIRECT(ADDRESS(MATCH(E264,Код_КЦСР,0)+1,2,,,"КЦСР")))</f>
        <v>Осуществление отдельных государственных полномочий в соответствии с законом области «О наделении органов местного самоуправления отдельными государственными полномочиями по лицензионному контролю», за счет средств областного бюджета</v>
      </c>
      <c r="B264" s="25">
        <v>801</v>
      </c>
      <c r="C264" s="87" t="s">
        <v>78</v>
      </c>
      <c r="D264" s="87" t="s">
        <v>78</v>
      </c>
      <c r="E264" s="25" t="s">
        <v>664</v>
      </c>
      <c r="F264" s="25"/>
      <c r="G264" s="88"/>
      <c r="H264" s="67"/>
      <c r="I264" s="67"/>
      <c r="J264" s="88">
        <f t="shared" si="51"/>
        <v>461.8</v>
      </c>
      <c r="K264" s="67">
        <f t="shared" si="42"/>
        <v>461.8</v>
      </c>
      <c r="L264" s="88">
        <f t="shared" si="51"/>
        <v>0</v>
      </c>
      <c r="M264" s="67">
        <f t="shared" si="43"/>
        <v>461.8</v>
      </c>
      <c r="N264" s="88">
        <f t="shared" si="51"/>
        <v>0</v>
      </c>
      <c r="O264" s="67">
        <f t="shared" si="40"/>
        <v>461.8</v>
      </c>
    </row>
    <row r="265" spans="1:15" s="128" customFormat="1" ht="57" customHeight="1" x14ac:dyDescent="0.2">
      <c r="A265" s="52" t="str">
        <f ca="1">IF(ISERROR(MATCH(F265,Код_КВР,0)),"",INDIRECT(ADDRESS(MATCH(F265,Код_КВР,0)+1,2,,,"КВР")))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5" s="25">
        <v>801</v>
      </c>
      <c r="C265" s="87" t="s">
        <v>78</v>
      </c>
      <c r="D265" s="87" t="s">
        <v>78</v>
      </c>
      <c r="E265" s="25" t="s">
        <v>664</v>
      </c>
      <c r="F265" s="25">
        <v>100</v>
      </c>
      <c r="G265" s="88"/>
      <c r="H265" s="67"/>
      <c r="I265" s="67"/>
      <c r="J265" s="88">
        <f t="shared" si="51"/>
        <v>461.8</v>
      </c>
      <c r="K265" s="67">
        <f t="shared" si="42"/>
        <v>461.8</v>
      </c>
      <c r="L265" s="88">
        <f t="shared" si="51"/>
        <v>0</v>
      </c>
      <c r="M265" s="67">
        <f t="shared" si="43"/>
        <v>461.8</v>
      </c>
      <c r="N265" s="88">
        <f t="shared" si="51"/>
        <v>0</v>
      </c>
      <c r="O265" s="67">
        <f t="shared" si="40"/>
        <v>461.8</v>
      </c>
    </row>
    <row r="266" spans="1:15" s="128" customFormat="1" ht="23.25" customHeight="1" x14ac:dyDescent="0.2">
      <c r="A266" s="52" t="str">
        <f ca="1">IF(ISERROR(MATCH(F266,Код_КВР,0)),"",INDIRECT(ADDRESS(MATCH(F266,Код_КВР,0)+1,2,,,"КВР")))</f>
        <v>Расходы на выплаты персоналу государственных (муниципальных) органов</v>
      </c>
      <c r="B266" s="25">
        <v>801</v>
      </c>
      <c r="C266" s="87" t="s">
        <v>78</v>
      </c>
      <c r="D266" s="87" t="s">
        <v>78</v>
      </c>
      <c r="E266" s="25" t="s">
        <v>664</v>
      </c>
      <c r="F266" s="25">
        <v>120</v>
      </c>
      <c r="G266" s="88"/>
      <c r="H266" s="67"/>
      <c r="I266" s="67"/>
      <c r="J266" s="88">
        <v>461.8</v>
      </c>
      <c r="K266" s="67">
        <f t="shared" si="42"/>
        <v>461.8</v>
      </c>
      <c r="L266" s="88"/>
      <c r="M266" s="67">
        <f t="shared" si="43"/>
        <v>461.8</v>
      </c>
      <c r="N266" s="88"/>
      <c r="O266" s="67">
        <f t="shared" si="40"/>
        <v>461.8</v>
      </c>
    </row>
    <row r="267" spans="1:15" s="107" customFormat="1" x14ac:dyDescent="0.2">
      <c r="A267" s="52" t="str">
        <f ca="1">IF(ISERROR(MATCH(C267,Код_Раздел,0)),"",INDIRECT(ADDRESS(MATCH(C267,Код_Раздел,0)+1,2,,,"Раздел")))</f>
        <v>Охрана окружающей среды</v>
      </c>
      <c r="B267" s="25">
        <v>801</v>
      </c>
      <c r="C267" s="87" t="s">
        <v>74</v>
      </c>
      <c r="D267" s="87"/>
      <c r="E267" s="25"/>
      <c r="F267" s="25"/>
      <c r="G267" s="88">
        <f t="shared" ref="G267:N269" si="52">G268</f>
        <v>6312.5</v>
      </c>
      <c r="H267" s="88">
        <f t="shared" si="52"/>
        <v>0</v>
      </c>
      <c r="I267" s="67">
        <f t="shared" si="41"/>
        <v>6312.5</v>
      </c>
      <c r="J267" s="88">
        <f t="shared" si="52"/>
        <v>0</v>
      </c>
      <c r="K267" s="67">
        <f t="shared" si="42"/>
        <v>6312.5</v>
      </c>
      <c r="L267" s="88">
        <f t="shared" si="52"/>
        <v>0</v>
      </c>
      <c r="M267" s="67">
        <f t="shared" si="43"/>
        <v>6312.5</v>
      </c>
      <c r="N267" s="88">
        <f t="shared" si="52"/>
        <v>0</v>
      </c>
      <c r="O267" s="67">
        <f t="shared" si="40"/>
        <v>6312.5</v>
      </c>
    </row>
    <row r="268" spans="1:15" s="107" customFormat="1" x14ac:dyDescent="0.2">
      <c r="A268" s="104" t="s">
        <v>106</v>
      </c>
      <c r="B268" s="25">
        <v>801</v>
      </c>
      <c r="C268" s="87" t="s">
        <v>74</v>
      </c>
      <c r="D268" s="87" t="s">
        <v>78</v>
      </c>
      <c r="E268" s="25"/>
      <c r="F268" s="25"/>
      <c r="G268" s="88">
        <f t="shared" si="52"/>
        <v>6312.5</v>
      </c>
      <c r="H268" s="88">
        <f t="shared" si="52"/>
        <v>0</v>
      </c>
      <c r="I268" s="67">
        <f t="shared" si="41"/>
        <v>6312.5</v>
      </c>
      <c r="J268" s="88">
        <f t="shared" si="52"/>
        <v>0</v>
      </c>
      <c r="K268" s="67">
        <f t="shared" si="42"/>
        <v>6312.5</v>
      </c>
      <c r="L268" s="88">
        <f t="shared" si="52"/>
        <v>0</v>
      </c>
      <c r="M268" s="67">
        <f t="shared" si="43"/>
        <v>6312.5</v>
      </c>
      <c r="N268" s="88">
        <f t="shared" si="52"/>
        <v>0</v>
      </c>
      <c r="O268" s="67">
        <f t="shared" si="40"/>
        <v>6312.5</v>
      </c>
    </row>
    <row r="269" spans="1:15" s="107" customFormat="1" ht="35.25" customHeight="1" x14ac:dyDescent="0.2">
      <c r="A269" s="52" t="str">
        <f ca="1">IF(ISERROR(MATCH(E269,Код_КЦСР,0)),"",INDIRECT(ADDRESS(MATCH(E269,Код_КЦСР,0)+1,2,,,"КЦСР")))</f>
        <v>Муниципальная программа «Охрана окружающей среды» на 2013 – 2022 годы</v>
      </c>
      <c r="B269" s="25">
        <v>801</v>
      </c>
      <c r="C269" s="87" t="s">
        <v>74</v>
      </c>
      <c r="D269" s="87" t="s">
        <v>78</v>
      </c>
      <c r="E269" s="25" t="s">
        <v>285</v>
      </c>
      <c r="F269" s="25"/>
      <c r="G269" s="88">
        <f t="shared" si="52"/>
        <v>6312.5</v>
      </c>
      <c r="H269" s="88">
        <f t="shared" si="52"/>
        <v>0</v>
      </c>
      <c r="I269" s="67">
        <f t="shared" si="41"/>
        <v>6312.5</v>
      </c>
      <c r="J269" s="88">
        <f t="shared" si="52"/>
        <v>0</v>
      </c>
      <c r="K269" s="67">
        <f t="shared" si="42"/>
        <v>6312.5</v>
      </c>
      <c r="L269" s="88">
        <f t="shared" si="52"/>
        <v>0</v>
      </c>
      <c r="M269" s="67">
        <f t="shared" si="43"/>
        <v>6312.5</v>
      </c>
      <c r="N269" s="88">
        <f t="shared" si="52"/>
        <v>0</v>
      </c>
      <c r="O269" s="67">
        <f t="shared" si="40"/>
        <v>6312.5</v>
      </c>
    </row>
    <row r="270" spans="1:15" s="107" customFormat="1" ht="52.5" customHeight="1" x14ac:dyDescent="0.2">
      <c r="A270" s="52" t="str">
        <f ca="1">IF(ISERROR(MATCH(E270,Код_КЦСР,0)),"",INDIRECT(ADDRESS(MATCH(E270,Код_КЦСР,0)+1,2,,,"КЦСР")))</f>
        <v>Организация работ по реализации целей, задач комитета охраны окружающей среды мэрии, выполнение его функциональных обязанностей и реализации муниципальной программы</v>
      </c>
      <c r="B270" s="25">
        <v>801</v>
      </c>
      <c r="C270" s="87" t="s">
        <v>74</v>
      </c>
      <c r="D270" s="87" t="s">
        <v>78</v>
      </c>
      <c r="E270" s="25" t="s">
        <v>642</v>
      </c>
      <c r="F270" s="25"/>
      <c r="G270" s="88">
        <f>G271+G276</f>
        <v>6312.5</v>
      </c>
      <c r="H270" s="88">
        <f>H271+H276</f>
        <v>0</v>
      </c>
      <c r="I270" s="67">
        <f t="shared" si="41"/>
        <v>6312.5</v>
      </c>
      <c r="J270" s="88">
        <f>J271+J276</f>
        <v>0</v>
      </c>
      <c r="K270" s="67">
        <f t="shared" si="42"/>
        <v>6312.5</v>
      </c>
      <c r="L270" s="88">
        <f>L271+L276</f>
        <v>0</v>
      </c>
      <c r="M270" s="67">
        <f t="shared" si="43"/>
        <v>6312.5</v>
      </c>
      <c r="N270" s="88">
        <f>N271+N276</f>
        <v>0</v>
      </c>
      <c r="O270" s="67">
        <f t="shared" si="40"/>
        <v>6312.5</v>
      </c>
    </row>
    <row r="271" spans="1:15" s="107" customFormat="1" ht="26.25" customHeight="1" x14ac:dyDescent="0.2">
      <c r="A271" s="52" t="str">
        <f ca="1">IF(ISERROR(MATCH(E271,Код_КЦСР,0)),"",INDIRECT(ADDRESS(MATCH(E271,Код_КЦСР,0)+1,2,,,"КЦСР")))</f>
        <v>Расходы на обеспечение функций органов местного самоуправления</v>
      </c>
      <c r="B271" s="25">
        <v>801</v>
      </c>
      <c r="C271" s="87" t="s">
        <v>74</v>
      </c>
      <c r="D271" s="87" t="s">
        <v>78</v>
      </c>
      <c r="E271" s="25" t="s">
        <v>643</v>
      </c>
      <c r="F271" s="25"/>
      <c r="G271" s="88">
        <f>G272+G274</f>
        <v>4610.7</v>
      </c>
      <c r="H271" s="88">
        <f>H272+H274</f>
        <v>0</v>
      </c>
      <c r="I271" s="67">
        <f t="shared" si="41"/>
        <v>4610.7</v>
      </c>
      <c r="J271" s="88">
        <f>J272+J274</f>
        <v>0</v>
      </c>
      <c r="K271" s="67">
        <f t="shared" si="42"/>
        <v>4610.7</v>
      </c>
      <c r="L271" s="88">
        <f>L272+L274</f>
        <v>0</v>
      </c>
      <c r="M271" s="67">
        <f t="shared" si="43"/>
        <v>4610.7</v>
      </c>
      <c r="N271" s="88">
        <f>N272+N274</f>
        <v>0</v>
      </c>
      <c r="O271" s="67">
        <f t="shared" si="40"/>
        <v>4610.7</v>
      </c>
    </row>
    <row r="272" spans="1:15" s="107" customFormat="1" ht="49.5" x14ac:dyDescent="0.2">
      <c r="A272" s="52" t="str">
        <f ca="1">IF(ISERROR(MATCH(F272,Код_КВР,0)),"",INDIRECT(ADDRESS(MATCH(F272,Код_КВР,0)+1,2,,,"КВР")))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2" s="25">
        <v>801</v>
      </c>
      <c r="C272" s="87" t="s">
        <v>74</v>
      </c>
      <c r="D272" s="87" t="s">
        <v>78</v>
      </c>
      <c r="E272" s="25" t="s">
        <v>643</v>
      </c>
      <c r="F272" s="25">
        <v>100</v>
      </c>
      <c r="G272" s="88">
        <f>G273</f>
        <v>4595.7</v>
      </c>
      <c r="H272" s="88">
        <f>H273</f>
        <v>0</v>
      </c>
      <c r="I272" s="67">
        <f t="shared" si="41"/>
        <v>4595.7</v>
      </c>
      <c r="J272" s="88">
        <f>J273</f>
        <v>0</v>
      </c>
      <c r="K272" s="67">
        <f t="shared" si="42"/>
        <v>4595.7</v>
      </c>
      <c r="L272" s="88">
        <f>L273</f>
        <v>0</v>
      </c>
      <c r="M272" s="67">
        <f t="shared" si="43"/>
        <v>4595.7</v>
      </c>
      <c r="N272" s="88">
        <f>N273</f>
        <v>0</v>
      </c>
      <c r="O272" s="67">
        <f t="shared" si="40"/>
        <v>4595.7</v>
      </c>
    </row>
    <row r="273" spans="1:15" s="107" customFormat="1" x14ac:dyDescent="0.2">
      <c r="A273" s="52" t="str">
        <f ca="1">IF(ISERROR(MATCH(F273,Код_КВР,0)),"",INDIRECT(ADDRESS(MATCH(F273,Код_КВР,0)+1,2,,,"КВР")))</f>
        <v>Расходы на выплаты персоналу государственных (муниципальных) органов</v>
      </c>
      <c r="B273" s="25">
        <v>801</v>
      </c>
      <c r="C273" s="87" t="s">
        <v>74</v>
      </c>
      <c r="D273" s="87" t="s">
        <v>78</v>
      </c>
      <c r="E273" s="25" t="s">
        <v>643</v>
      </c>
      <c r="F273" s="25">
        <v>120</v>
      </c>
      <c r="G273" s="88">
        <f>3510.2+25.5+1060</f>
        <v>4595.7</v>
      </c>
      <c r="H273" s="67"/>
      <c r="I273" s="67">
        <f t="shared" si="41"/>
        <v>4595.7</v>
      </c>
      <c r="J273" s="88"/>
      <c r="K273" s="67">
        <f t="shared" si="42"/>
        <v>4595.7</v>
      </c>
      <c r="L273" s="88"/>
      <c r="M273" s="67">
        <f t="shared" si="43"/>
        <v>4595.7</v>
      </c>
      <c r="N273" s="88"/>
      <c r="O273" s="67">
        <f t="shared" si="40"/>
        <v>4595.7</v>
      </c>
    </row>
    <row r="274" spans="1:15" s="107" customFormat="1" ht="33" x14ac:dyDescent="0.2">
      <c r="A274" s="52" t="str">
        <f ca="1">IF(ISERROR(MATCH(F274,Код_КВР,0)),"",INDIRECT(ADDRESS(MATCH(F274,Код_КВР,0)+1,2,,,"КВР")))</f>
        <v>Закупка товаров, работ и услуг для обеспечения государственных (муниципальных) нужд</v>
      </c>
      <c r="B274" s="25">
        <v>801</v>
      </c>
      <c r="C274" s="87" t="s">
        <v>74</v>
      </c>
      <c r="D274" s="87" t="s">
        <v>78</v>
      </c>
      <c r="E274" s="25" t="s">
        <v>643</v>
      </c>
      <c r="F274" s="25">
        <v>200</v>
      </c>
      <c r="G274" s="88">
        <f>G275</f>
        <v>15</v>
      </c>
      <c r="H274" s="88">
        <f>H275</f>
        <v>0</v>
      </c>
      <c r="I274" s="67">
        <f t="shared" si="41"/>
        <v>15</v>
      </c>
      <c r="J274" s="88">
        <f>J275</f>
        <v>0</v>
      </c>
      <c r="K274" s="67">
        <f t="shared" si="42"/>
        <v>15</v>
      </c>
      <c r="L274" s="88">
        <f>L275</f>
        <v>0</v>
      </c>
      <c r="M274" s="67">
        <f t="shared" si="43"/>
        <v>15</v>
      </c>
      <c r="N274" s="88">
        <f>N275</f>
        <v>0</v>
      </c>
      <c r="O274" s="67">
        <f t="shared" si="40"/>
        <v>15</v>
      </c>
    </row>
    <row r="275" spans="1:15" s="107" customFormat="1" ht="33" x14ac:dyDescent="0.2">
      <c r="A275" s="52" t="str">
        <f ca="1">IF(ISERROR(MATCH(F275,Код_КВР,0)),"",INDIRECT(ADDRESS(MATCH(F275,Код_КВР,0)+1,2,,,"КВР")))</f>
        <v>Иные закупки товаров, работ и услуг для обеспечения государственных (муниципальных) нужд</v>
      </c>
      <c r="B275" s="25">
        <v>801</v>
      </c>
      <c r="C275" s="87" t="s">
        <v>74</v>
      </c>
      <c r="D275" s="87" t="s">
        <v>78</v>
      </c>
      <c r="E275" s="25" t="s">
        <v>643</v>
      </c>
      <c r="F275" s="25">
        <v>240</v>
      </c>
      <c r="G275" s="88">
        <v>15</v>
      </c>
      <c r="H275" s="67"/>
      <c r="I275" s="67">
        <f t="shared" si="41"/>
        <v>15</v>
      </c>
      <c r="J275" s="88"/>
      <c r="K275" s="67">
        <f t="shared" si="42"/>
        <v>15</v>
      </c>
      <c r="L275" s="88"/>
      <c r="M275" s="67">
        <f t="shared" si="43"/>
        <v>15</v>
      </c>
      <c r="N275" s="88"/>
      <c r="O275" s="67">
        <f t="shared" ref="O275:O338" si="53">M275+N275</f>
        <v>15</v>
      </c>
    </row>
    <row r="276" spans="1:15" s="116" customFormat="1" ht="79.5" customHeight="1" x14ac:dyDescent="0.2">
      <c r="A276" s="52" t="str">
        <f ca="1">IF(ISERROR(MATCH(E276,Код_КЦСР,0)),"",INDIRECT(ADDRESS(MATCH(E276,Код_КЦСР,0)+1,2,,,"КЦСР")))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среды», за счет средств областного бюджета</v>
      </c>
      <c r="B276" s="25">
        <v>801</v>
      </c>
      <c r="C276" s="87" t="s">
        <v>74</v>
      </c>
      <c r="D276" s="87" t="s">
        <v>78</v>
      </c>
      <c r="E276" s="25" t="s">
        <v>644</v>
      </c>
      <c r="F276" s="25"/>
      <c r="G276" s="88">
        <f>G277+G279</f>
        <v>1701.8000000000002</v>
      </c>
      <c r="H276" s="88">
        <f>H277+H279</f>
        <v>0</v>
      </c>
      <c r="I276" s="67">
        <f t="shared" si="41"/>
        <v>1701.8000000000002</v>
      </c>
      <c r="J276" s="88">
        <f>J277+J279</f>
        <v>0</v>
      </c>
      <c r="K276" s="67">
        <f t="shared" si="42"/>
        <v>1701.8000000000002</v>
      </c>
      <c r="L276" s="88">
        <f>L277+L279</f>
        <v>0</v>
      </c>
      <c r="M276" s="67">
        <f t="shared" si="43"/>
        <v>1701.8000000000002</v>
      </c>
      <c r="N276" s="88">
        <f>N277+N279</f>
        <v>0</v>
      </c>
      <c r="O276" s="67">
        <f t="shared" si="53"/>
        <v>1701.8000000000002</v>
      </c>
    </row>
    <row r="277" spans="1:15" s="116" customFormat="1" ht="53.25" customHeight="1" x14ac:dyDescent="0.2">
      <c r="A277" s="52" t="str">
        <f ca="1">IF(ISERROR(MATCH(F277,Код_КВР,0)),"",INDIRECT(ADDRESS(MATCH(F277,Код_КВР,0)+1,2,,,"КВР")))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7" s="25">
        <v>801</v>
      </c>
      <c r="C277" s="87" t="s">
        <v>74</v>
      </c>
      <c r="D277" s="87" t="s">
        <v>78</v>
      </c>
      <c r="E277" s="25" t="s">
        <v>644</v>
      </c>
      <c r="F277" s="25">
        <v>100</v>
      </c>
      <c r="G277" s="88">
        <f>G278</f>
        <v>1651.8000000000002</v>
      </c>
      <c r="H277" s="88">
        <f>H278</f>
        <v>0</v>
      </c>
      <c r="I277" s="67">
        <f t="shared" si="41"/>
        <v>1651.8000000000002</v>
      </c>
      <c r="J277" s="88">
        <f>J278</f>
        <v>0</v>
      </c>
      <c r="K277" s="67">
        <f t="shared" si="42"/>
        <v>1651.8000000000002</v>
      </c>
      <c r="L277" s="88">
        <f>L278</f>
        <v>0</v>
      </c>
      <c r="M277" s="67">
        <f t="shared" si="43"/>
        <v>1651.8000000000002</v>
      </c>
      <c r="N277" s="88">
        <f>N278</f>
        <v>0</v>
      </c>
      <c r="O277" s="67">
        <f t="shared" si="53"/>
        <v>1651.8000000000002</v>
      </c>
    </row>
    <row r="278" spans="1:15" s="116" customFormat="1" ht="25.5" customHeight="1" x14ac:dyDescent="0.2">
      <c r="A278" s="52" t="str">
        <f ca="1">IF(ISERROR(MATCH(F278,Код_КВР,0)),"",INDIRECT(ADDRESS(MATCH(F278,Код_КВР,0)+1,2,,,"КВР")))</f>
        <v>Расходы на выплаты персоналу государственных (муниципальных) органов</v>
      </c>
      <c r="B278" s="25">
        <v>801</v>
      </c>
      <c r="C278" s="87" t="s">
        <v>74</v>
      </c>
      <c r="D278" s="87" t="s">
        <v>78</v>
      </c>
      <c r="E278" s="25" t="s">
        <v>644</v>
      </c>
      <c r="F278" s="25">
        <v>120</v>
      </c>
      <c r="G278" s="88">
        <f>1268.7+383.1</f>
        <v>1651.8000000000002</v>
      </c>
      <c r="H278" s="67"/>
      <c r="I278" s="67">
        <f t="shared" si="41"/>
        <v>1651.8000000000002</v>
      </c>
      <c r="J278" s="88"/>
      <c r="K278" s="67">
        <f t="shared" si="42"/>
        <v>1651.8000000000002</v>
      </c>
      <c r="L278" s="88"/>
      <c r="M278" s="67">
        <f t="shared" si="43"/>
        <v>1651.8000000000002</v>
      </c>
      <c r="N278" s="88"/>
      <c r="O278" s="67">
        <f t="shared" si="53"/>
        <v>1651.8000000000002</v>
      </c>
    </row>
    <row r="279" spans="1:15" s="116" customFormat="1" ht="33" x14ac:dyDescent="0.2">
      <c r="A279" s="52" t="str">
        <f ca="1">IF(ISERROR(MATCH(F279,Код_КВР,0)),"",INDIRECT(ADDRESS(MATCH(F279,Код_КВР,0)+1,2,,,"КВР")))</f>
        <v>Закупка товаров, работ и услуг для обеспечения государственных (муниципальных) нужд</v>
      </c>
      <c r="B279" s="25">
        <v>801</v>
      </c>
      <c r="C279" s="87" t="s">
        <v>74</v>
      </c>
      <c r="D279" s="87" t="s">
        <v>78</v>
      </c>
      <c r="E279" s="25" t="s">
        <v>644</v>
      </c>
      <c r="F279" s="25">
        <v>200</v>
      </c>
      <c r="G279" s="88">
        <f>G280</f>
        <v>50</v>
      </c>
      <c r="H279" s="88">
        <f>H280</f>
        <v>0</v>
      </c>
      <c r="I279" s="67">
        <f t="shared" si="41"/>
        <v>50</v>
      </c>
      <c r="J279" s="88">
        <f>J280</f>
        <v>0</v>
      </c>
      <c r="K279" s="67">
        <f t="shared" si="42"/>
        <v>50</v>
      </c>
      <c r="L279" s="88">
        <f>L280</f>
        <v>0</v>
      </c>
      <c r="M279" s="67">
        <f t="shared" si="43"/>
        <v>50</v>
      </c>
      <c r="N279" s="88">
        <f>N280</f>
        <v>0</v>
      </c>
      <c r="O279" s="67">
        <f t="shared" si="53"/>
        <v>50</v>
      </c>
    </row>
    <row r="280" spans="1:15" s="116" customFormat="1" ht="33" x14ac:dyDescent="0.2">
      <c r="A280" s="52" t="str">
        <f ca="1">IF(ISERROR(MATCH(F280,Код_КВР,0)),"",INDIRECT(ADDRESS(MATCH(F280,Код_КВР,0)+1,2,,,"КВР")))</f>
        <v>Иные закупки товаров, работ и услуг для обеспечения государственных (муниципальных) нужд</v>
      </c>
      <c r="B280" s="25">
        <v>801</v>
      </c>
      <c r="C280" s="87" t="s">
        <v>74</v>
      </c>
      <c r="D280" s="87" t="s">
        <v>78</v>
      </c>
      <c r="E280" s="25" t="s">
        <v>644</v>
      </c>
      <c r="F280" s="25">
        <v>240</v>
      </c>
      <c r="G280" s="88">
        <v>50</v>
      </c>
      <c r="H280" s="67"/>
      <c r="I280" s="67">
        <f t="shared" si="41"/>
        <v>50</v>
      </c>
      <c r="J280" s="88"/>
      <c r="K280" s="67">
        <f t="shared" si="42"/>
        <v>50</v>
      </c>
      <c r="L280" s="88"/>
      <c r="M280" s="67">
        <f t="shared" si="43"/>
        <v>50</v>
      </c>
      <c r="N280" s="88"/>
      <c r="O280" s="67">
        <f t="shared" si="53"/>
        <v>50</v>
      </c>
    </row>
    <row r="281" spans="1:15" s="107" customFormat="1" x14ac:dyDescent="0.2">
      <c r="A281" s="64" t="str">
        <f ca="1">IF(ISERROR(MATCH(C281,Код_Раздел,0)),"",INDIRECT(ADDRESS(MATCH(C281,Код_Раздел,0)+1,2,,,"Раздел")))</f>
        <v>Образование</v>
      </c>
      <c r="B281" s="26">
        <v>801</v>
      </c>
      <c r="C281" s="65" t="s">
        <v>60</v>
      </c>
      <c r="D281" s="65"/>
      <c r="E281" s="26"/>
      <c r="F281" s="26"/>
      <c r="G281" s="66">
        <f>G334+G282</f>
        <v>7973.1</v>
      </c>
      <c r="H281" s="66">
        <f>H334+H282</f>
        <v>0</v>
      </c>
      <c r="I281" s="67">
        <f t="shared" si="41"/>
        <v>7973.1</v>
      </c>
      <c r="J281" s="66">
        <f>J334+J282</f>
        <v>0</v>
      </c>
      <c r="K281" s="67">
        <f t="shared" si="42"/>
        <v>7973.1</v>
      </c>
      <c r="L281" s="66">
        <f>L334+L282</f>
        <v>15</v>
      </c>
      <c r="M281" s="67">
        <f t="shared" si="43"/>
        <v>7988.1</v>
      </c>
      <c r="N281" s="66">
        <f>N334+N282</f>
        <v>0</v>
      </c>
      <c r="O281" s="67">
        <f t="shared" si="53"/>
        <v>7988.1</v>
      </c>
    </row>
    <row r="282" spans="1:15" s="107" customFormat="1" x14ac:dyDescent="0.2">
      <c r="A282" s="45" t="s">
        <v>532</v>
      </c>
      <c r="B282" s="26">
        <v>801</v>
      </c>
      <c r="C282" s="65" t="s">
        <v>60</v>
      </c>
      <c r="D282" s="65" t="s">
        <v>78</v>
      </c>
      <c r="E282" s="26"/>
      <c r="F282" s="26"/>
      <c r="G282" s="66">
        <f>G283+G288+G292+G296+G329+G311+G300+G325</f>
        <v>334</v>
      </c>
      <c r="H282" s="66">
        <f>H283+H288+H292+H296+H329+H311+H300+H325</f>
        <v>0</v>
      </c>
      <c r="I282" s="67">
        <f t="shared" si="41"/>
        <v>334</v>
      </c>
      <c r="J282" s="66">
        <f>J283+J288+J292+J296+J329+J311+J300+J325</f>
        <v>0</v>
      </c>
      <c r="K282" s="67">
        <f t="shared" si="42"/>
        <v>334</v>
      </c>
      <c r="L282" s="66">
        <f>L283+L288+L292+L296+L329+L311+L300+L325</f>
        <v>15</v>
      </c>
      <c r="M282" s="67">
        <f t="shared" si="43"/>
        <v>349</v>
      </c>
      <c r="N282" s="66">
        <f>N283+N288+N292+N296+N329+N311+N300+N325</f>
        <v>0</v>
      </c>
      <c r="O282" s="67">
        <f t="shared" si="53"/>
        <v>349</v>
      </c>
    </row>
    <row r="283" spans="1:15" s="107" customFormat="1" x14ac:dyDescent="0.2">
      <c r="A283" s="64" t="str">
        <f ca="1">IF(ISERROR(MATCH(E283,Код_КЦСР,0)),"",INDIRECT(ADDRESS(MATCH(E283,Код_КЦСР,0)+1,2,,,"КЦСР")))</f>
        <v>Муниципальная программа «Развитие архивного дела» на 2013 – 2020 годы</v>
      </c>
      <c r="B283" s="26">
        <v>801</v>
      </c>
      <c r="C283" s="65" t="s">
        <v>60</v>
      </c>
      <c r="D283" s="65" t="s">
        <v>78</v>
      </c>
      <c r="E283" s="26" t="s">
        <v>281</v>
      </c>
      <c r="F283" s="26"/>
      <c r="G283" s="66">
        <f t="shared" ref="G283:N286" si="54">G284</f>
        <v>30</v>
      </c>
      <c r="H283" s="66">
        <f t="shared" si="54"/>
        <v>0</v>
      </c>
      <c r="I283" s="67">
        <f t="shared" si="41"/>
        <v>30</v>
      </c>
      <c r="J283" s="66">
        <f t="shared" si="54"/>
        <v>0</v>
      </c>
      <c r="K283" s="67">
        <f t="shared" si="42"/>
        <v>30</v>
      </c>
      <c r="L283" s="66">
        <f t="shared" si="54"/>
        <v>0</v>
      </c>
      <c r="M283" s="67">
        <f t="shared" si="43"/>
        <v>30</v>
      </c>
      <c r="N283" s="66">
        <f t="shared" si="54"/>
        <v>0</v>
      </c>
      <c r="O283" s="67">
        <f t="shared" si="53"/>
        <v>30</v>
      </c>
    </row>
    <row r="284" spans="1:15" s="107" customFormat="1" ht="33" x14ac:dyDescent="0.2">
      <c r="A284" s="64" t="str">
        <f ca="1">IF(ISERROR(MATCH(E284,Код_КЦСР,0)),"",INDIRECT(ADDRESS(MATCH(E284,Код_КЦСР,0)+1,2,,,"КЦСР")))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284" s="26">
        <v>801</v>
      </c>
      <c r="C284" s="65" t="s">
        <v>60</v>
      </c>
      <c r="D284" s="65" t="s">
        <v>78</v>
      </c>
      <c r="E284" s="26" t="s">
        <v>282</v>
      </c>
      <c r="F284" s="26"/>
      <c r="G284" s="66">
        <f t="shared" si="54"/>
        <v>30</v>
      </c>
      <c r="H284" s="66">
        <f t="shared" si="54"/>
        <v>0</v>
      </c>
      <c r="I284" s="67">
        <f t="shared" si="41"/>
        <v>30</v>
      </c>
      <c r="J284" s="66">
        <f t="shared" si="54"/>
        <v>0</v>
      </c>
      <c r="K284" s="67">
        <f t="shared" si="42"/>
        <v>30</v>
      </c>
      <c r="L284" s="66">
        <f t="shared" si="54"/>
        <v>0</v>
      </c>
      <c r="M284" s="67">
        <f t="shared" si="43"/>
        <v>30</v>
      </c>
      <c r="N284" s="66">
        <f t="shared" si="54"/>
        <v>0</v>
      </c>
      <c r="O284" s="67">
        <f t="shared" si="53"/>
        <v>30</v>
      </c>
    </row>
    <row r="285" spans="1:15" s="107" customFormat="1" ht="49.5" x14ac:dyDescent="0.2">
      <c r="A285" s="64" t="str">
        <f ca="1">IF(ISERROR(MATCH(E285,Код_КЦСР,0)),"",INDIRECT(ADDRESS(MATCH(E285,Код_КЦСР,0)+1,2,,,"КЦСР")))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информации, за счет средств городского бюджета</v>
      </c>
      <c r="B285" s="26">
        <v>801</v>
      </c>
      <c r="C285" s="65" t="s">
        <v>60</v>
      </c>
      <c r="D285" s="65" t="s">
        <v>78</v>
      </c>
      <c r="E285" s="26" t="s">
        <v>283</v>
      </c>
      <c r="F285" s="26"/>
      <c r="G285" s="66">
        <f t="shared" si="54"/>
        <v>30</v>
      </c>
      <c r="H285" s="66">
        <f t="shared" si="54"/>
        <v>0</v>
      </c>
      <c r="I285" s="67">
        <f t="shared" si="41"/>
        <v>30</v>
      </c>
      <c r="J285" s="66">
        <f t="shared" si="54"/>
        <v>0</v>
      </c>
      <c r="K285" s="67">
        <f t="shared" si="42"/>
        <v>30</v>
      </c>
      <c r="L285" s="66">
        <f t="shared" si="54"/>
        <v>0</v>
      </c>
      <c r="M285" s="67">
        <f t="shared" si="43"/>
        <v>30</v>
      </c>
      <c r="N285" s="66">
        <f t="shared" si="54"/>
        <v>0</v>
      </c>
      <c r="O285" s="67">
        <f t="shared" si="53"/>
        <v>30</v>
      </c>
    </row>
    <row r="286" spans="1:15" s="107" customFormat="1" ht="35.25" customHeight="1" x14ac:dyDescent="0.2">
      <c r="A286" s="64" t="str">
        <f ca="1">IF(ISERROR(MATCH(F286,Код_КВР,0)),"",INDIRECT(ADDRESS(MATCH(F286,Код_КВР,0)+1,2,,,"КВР")))</f>
        <v>Закупка товаров, работ и услуг для обеспечения государственных (муниципальных) нужд</v>
      </c>
      <c r="B286" s="26">
        <v>801</v>
      </c>
      <c r="C286" s="65" t="s">
        <v>60</v>
      </c>
      <c r="D286" s="65" t="s">
        <v>78</v>
      </c>
      <c r="E286" s="26" t="s">
        <v>283</v>
      </c>
      <c r="F286" s="26">
        <v>200</v>
      </c>
      <c r="G286" s="66">
        <f t="shared" si="54"/>
        <v>30</v>
      </c>
      <c r="H286" s="66">
        <f t="shared" si="54"/>
        <v>0</v>
      </c>
      <c r="I286" s="67">
        <f t="shared" si="41"/>
        <v>30</v>
      </c>
      <c r="J286" s="66">
        <f t="shared" si="54"/>
        <v>0</v>
      </c>
      <c r="K286" s="67">
        <f t="shared" ref="K286:K349" si="55">I286+J286</f>
        <v>30</v>
      </c>
      <c r="L286" s="66">
        <f t="shared" si="54"/>
        <v>0</v>
      </c>
      <c r="M286" s="67">
        <f t="shared" ref="M286:M349" si="56">K286+L286</f>
        <v>30</v>
      </c>
      <c r="N286" s="66">
        <f t="shared" si="54"/>
        <v>0</v>
      </c>
      <c r="O286" s="67">
        <f t="shared" si="53"/>
        <v>30</v>
      </c>
    </row>
    <row r="287" spans="1:15" s="107" customFormat="1" ht="43.5" customHeight="1" x14ac:dyDescent="0.2">
      <c r="A287" s="64" t="str">
        <f ca="1">IF(ISERROR(MATCH(F287,Код_КВР,0)),"",INDIRECT(ADDRESS(MATCH(F287,Код_КВР,0)+1,2,,,"КВР")))</f>
        <v>Иные закупки товаров, работ и услуг для обеспечения государственных (муниципальных) нужд</v>
      </c>
      <c r="B287" s="26">
        <v>801</v>
      </c>
      <c r="C287" s="65" t="s">
        <v>60</v>
      </c>
      <c r="D287" s="65" t="s">
        <v>78</v>
      </c>
      <c r="E287" s="26" t="s">
        <v>283</v>
      </c>
      <c r="F287" s="26">
        <v>240</v>
      </c>
      <c r="G287" s="66">
        <v>30</v>
      </c>
      <c r="H287" s="67"/>
      <c r="I287" s="67">
        <f t="shared" si="41"/>
        <v>30</v>
      </c>
      <c r="J287" s="66"/>
      <c r="K287" s="67">
        <f t="shared" si="55"/>
        <v>30</v>
      </c>
      <c r="L287" s="66"/>
      <c r="M287" s="67">
        <f t="shared" si="56"/>
        <v>30</v>
      </c>
      <c r="N287" s="66"/>
      <c r="O287" s="67">
        <f t="shared" si="53"/>
        <v>30</v>
      </c>
    </row>
    <row r="288" spans="1:15" s="107" customFormat="1" ht="43.5" customHeight="1" x14ac:dyDescent="0.2">
      <c r="A288" s="64" t="str">
        <f ca="1">IF(ISERROR(MATCH(E288,Код_КЦСР,0)),"",INDIRECT(ADDRESS(MATCH(E288,Код_КЦСР,0)+1,2,,,"КЦСР")))</f>
        <v>Муниципальная программа «Развитие молодежной политики» на 2013 – 2020 годы</v>
      </c>
      <c r="B288" s="26">
        <v>801</v>
      </c>
      <c r="C288" s="65" t="s">
        <v>60</v>
      </c>
      <c r="D288" s="65" t="s">
        <v>78</v>
      </c>
      <c r="E288" s="26" t="s">
        <v>299</v>
      </c>
      <c r="F288" s="26"/>
      <c r="G288" s="66">
        <f t="shared" ref="G288:N290" si="57">G289</f>
        <v>37.799999999999997</v>
      </c>
      <c r="H288" s="66">
        <f t="shared" si="57"/>
        <v>0</v>
      </c>
      <c r="I288" s="67">
        <f t="shared" si="41"/>
        <v>37.799999999999997</v>
      </c>
      <c r="J288" s="66">
        <f t="shared" si="57"/>
        <v>0</v>
      </c>
      <c r="K288" s="67">
        <f t="shared" si="55"/>
        <v>37.799999999999997</v>
      </c>
      <c r="L288" s="66">
        <f t="shared" si="57"/>
        <v>0</v>
      </c>
      <c r="M288" s="67">
        <f t="shared" si="56"/>
        <v>37.799999999999997</v>
      </c>
      <c r="N288" s="66">
        <f t="shared" si="57"/>
        <v>0</v>
      </c>
      <c r="O288" s="67">
        <f t="shared" si="53"/>
        <v>37.799999999999997</v>
      </c>
    </row>
    <row r="289" spans="1:15" s="107" customFormat="1" ht="68.25" customHeight="1" x14ac:dyDescent="0.2">
      <c r="A289" s="64" t="str">
        <f ca="1">IF(ISERROR(MATCH(E289,Код_КЦСР,0)),"",INDIRECT(ADDRESS(MATCH(E289,Код_КЦСР,0)+1,2,,,"КЦСР")))</f>
        <v>Организация и проведение мероприятий с детьми и молодежью, организация поддержки детских и молодежных общественных объединений, в рамках текущей деятельности муниципального казенного учреждения «Череповецкий молодежный центр»</v>
      </c>
      <c r="B289" s="26">
        <v>801</v>
      </c>
      <c r="C289" s="65" t="s">
        <v>60</v>
      </c>
      <c r="D289" s="65" t="s">
        <v>78</v>
      </c>
      <c r="E289" s="26" t="s">
        <v>302</v>
      </c>
      <c r="F289" s="26"/>
      <c r="G289" s="66">
        <f t="shared" si="57"/>
        <v>37.799999999999997</v>
      </c>
      <c r="H289" s="66">
        <f t="shared" si="57"/>
        <v>0</v>
      </c>
      <c r="I289" s="67">
        <f t="shared" si="41"/>
        <v>37.799999999999997</v>
      </c>
      <c r="J289" s="66">
        <f t="shared" si="57"/>
        <v>0</v>
      </c>
      <c r="K289" s="67">
        <f t="shared" si="55"/>
        <v>37.799999999999997</v>
      </c>
      <c r="L289" s="66">
        <f t="shared" si="57"/>
        <v>0</v>
      </c>
      <c r="M289" s="67">
        <f t="shared" si="56"/>
        <v>37.799999999999997</v>
      </c>
      <c r="N289" s="66">
        <f t="shared" si="57"/>
        <v>0</v>
      </c>
      <c r="O289" s="67">
        <f t="shared" si="53"/>
        <v>37.799999999999997</v>
      </c>
    </row>
    <row r="290" spans="1:15" s="107" customFormat="1" ht="43.5" customHeight="1" x14ac:dyDescent="0.2">
      <c r="A290" s="64" t="str">
        <f ca="1">IF(ISERROR(MATCH(F290,Код_КВР,0)),"",INDIRECT(ADDRESS(MATCH(F290,Код_КВР,0)+1,2,,,"КВР")))</f>
        <v>Закупка товаров, работ и услуг для обеспечения государственных (муниципальных) нужд</v>
      </c>
      <c r="B290" s="26">
        <v>801</v>
      </c>
      <c r="C290" s="65" t="s">
        <v>60</v>
      </c>
      <c r="D290" s="65" t="s">
        <v>78</v>
      </c>
      <c r="E290" s="26" t="s">
        <v>302</v>
      </c>
      <c r="F290" s="26">
        <v>200</v>
      </c>
      <c r="G290" s="66">
        <f t="shared" si="57"/>
        <v>37.799999999999997</v>
      </c>
      <c r="H290" s="66">
        <f t="shared" si="57"/>
        <v>0</v>
      </c>
      <c r="I290" s="67">
        <f t="shared" si="41"/>
        <v>37.799999999999997</v>
      </c>
      <c r="J290" s="66">
        <f t="shared" si="57"/>
        <v>0</v>
      </c>
      <c r="K290" s="67">
        <f t="shared" si="55"/>
        <v>37.799999999999997</v>
      </c>
      <c r="L290" s="66">
        <f t="shared" si="57"/>
        <v>0</v>
      </c>
      <c r="M290" s="67">
        <f t="shared" si="56"/>
        <v>37.799999999999997</v>
      </c>
      <c r="N290" s="66">
        <f t="shared" si="57"/>
        <v>0</v>
      </c>
      <c r="O290" s="67">
        <f t="shared" si="53"/>
        <v>37.799999999999997</v>
      </c>
    </row>
    <row r="291" spans="1:15" s="107" customFormat="1" ht="43.5" customHeight="1" x14ac:dyDescent="0.2">
      <c r="A291" s="64" t="str">
        <f ca="1">IF(ISERROR(MATCH(F291,Код_КВР,0)),"",INDIRECT(ADDRESS(MATCH(F291,Код_КВР,0)+1,2,,,"КВР")))</f>
        <v>Иные закупки товаров, работ и услуг для обеспечения государственных (муниципальных) нужд</v>
      </c>
      <c r="B291" s="26">
        <v>801</v>
      </c>
      <c r="C291" s="65" t="s">
        <v>60</v>
      </c>
      <c r="D291" s="65" t="s">
        <v>78</v>
      </c>
      <c r="E291" s="26" t="s">
        <v>302</v>
      </c>
      <c r="F291" s="26">
        <v>240</v>
      </c>
      <c r="G291" s="66">
        <v>37.799999999999997</v>
      </c>
      <c r="H291" s="67"/>
      <c r="I291" s="67">
        <f t="shared" si="41"/>
        <v>37.799999999999997</v>
      </c>
      <c r="J291" s="66"/>
      <c r="K291" s="67">
        <f t="shared" si="55"/>
        <v>37.799999999999997</v>
      </c>
      <c r="L291" s="66"/>
      <c r="M291" s="67">
        <f t="shared" si="56"/>
        <v>37.799999999999997</v>
      </c>
      <c r="N291" s="66"/>
      <c r="O291" s="67">
        <f t="shared" si="53"/>
        <v>37.799999999999997</v>
      </c>
    </row>
    <row r="292" spans="1:15" s="107" customFormat="1" ht="33" x14ac:dyDescent="0.2">
      <c r="A292" s="64" t="str">
        <f ca="1">IF(ISERROR(MATCH(E292,Код_КЦСР,0)),"",INDIRECT(ADDRESS(MATCH(E292,Код_КЦСР,0)+1,2,,,"КЦСР")))</f>
        <v>Муниципальная программа «iCity-Современные информационные технологии г. Череповца» на 2014 – 2020 годы</v>
      </c>
      <c r="B292" s="26">
        <v>801</v>
      </c>
      <c r="C292" s="65" t="s">
        <v>60</v>
      </c>
      <c r="D292" s="65" t="s">
        <v>78</v>
      </c>
      <c r="E292" s="26" t="s">
        <v>307</v>
      </c>
      <c r="F292" s="26"/>
      <c r="G292" s="66">
        <f t="shared" ref="G292:N294" si="58">G293</f>
        <v>52.1</v>
      </c>
      <c r="H292" s="66">
        <f t="shared" si="58"/>
        <v>0</v>
      </c>
      <c r="I292" s="67">
        <f t="shared" si="41"/>
        <v>52.1</v>
      </c>
      <c r="J292" s="66">
        <f t="shared" si="58"/>
        <v>0</v>
      </c>
      <c r="K292" s="67">
        <f t="shared" si="55"/>
        <v>52.1</v>
      </c>
      <c r="L292" s="66">
        <f t="shared" si="58"/>
        <v>0</v>
      </c>
      <c r="M292" s="67">
        <f t="shared" si="56"/>
        <v>52.1</v>
      </c>
      <c r="N292" s="66">
        <f t="shared" si="58"/>
        <v>0</v>
      </c>
      <c r="O292" s="67">
        <f t="shared" si="53"/>
        <v>52.1</v>
      </c>
    </row>
    <row r="293" spans="1:15" s="107" customFormat="1" ht="48" customHeight="1" x14ac:dyDescent="0.2">
      <c r="A293" s="64" t="str">
        <f ca="1">IF(ISERROR(MATCH(E293,Код_КЦСР,0)),"",INDIRECT(ADDRESS(MATCH(E293,Код_КЦСР,0)+1,2,,,"КЦСР")))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293" s="26">
        <v>801</v>
      </c>
      <c r="C293" s="65" t="s">
        <v>60</v>
      </c>
      <c r="D293" s="65" t="s">
        <v>78</v>
      </c>
      <c r="E293" s="26" t="s">
        <v>309</v>
      </c>
      <c r="F293" s="26"/>
      <c r="G293" s="66">
        <f t="shared" si="58"/>
        <v>52.1</v>
      </c>
      <c r="H293" s="66">
        <f t="shared" si="58"/>
        <v>0</v>
      </c>
      <c r="I293" s="67">
        <f t="shared" si="41"/>
        <v>52.1</v>
      </c>
      <c r="J293" s="66">
        <f t="shared" si="58"/>
        <v>0</v>
      </c>
      <c r="K293" s="67">
        <f t="shared" si="55"/>
        <v>52.1</v>
      </c>
      <c r="L293" s="66">
        <f t="shared" si="58"/>
        <v>0</v>
      </c>
      <c r="M293" s="67">
        <f t="shared" si="56"/>
        <v>52.1</v>
      </c>
      <c r="N293" s="66">
        <f t="shared" si="58"/>
        <v>0</v>
      </c>
      <c r="O293" s="67">
        <f t="shared" si="53"/>
        <v>52.1</v>
      </c>
    </row>
    <row r="294" spans="1:15" s="107" customFormat="1" ht="33" x14ac:dyDescent="0.2">
      <c r="A294" s="64" t="str">
        <f ca="1">IF(ISERROR(MATCH(F294,Код_КВР,0)),"",INDIRECT(ADDRESS(MATCH(F294,Код_КВР,0)+1,2,,,"КВР")))</f>
        <v>Предоставление субсидий бюджетным, автономным учреждениям и иным некоммерческим организациям</v>
      </c>
      <c r="B294" s="26">
        <v>801</v>
      </c>
      <c r="C294" s="65" t="s">
        <v>60</v>
      </c>
      <c r="D294" s="65" t="s">
        <v>78</v>
      </c>
      <c r="E294" s="26" t="s">
        <v>309</v>
      </c>
      <c r="F294" s="26">
        <v>600</v>
      </c>
      <c r="G294" s="66">
        <f t="shared" si="58"/>
        <v>52.1</v>
      </c>
      <c r="H294" s="66">
        <f t="shared" si="58"/>
        <v>0</v>
      </c>
      <c r="I294" s="67">
        <f t="shared" ref="I294:I357" si="59">G294+H294</f>
        <v>52.1</v>
      </c>
      <c r="J294" s="66">
        <f t="shared" si="58"/>
        <v>0</v>
      </c>
      <c r="K294" s="67">
        <f t="shared" si="55"/>
        <v>52.1</v>
      </c>
      <c r="L294" s="66">
        <f t="shared" si="58"/>
        <v>0</v>
      </c>
      <c r="M294" s="67">
        <f t="shared" si="56"/>
        <v>52.1</v>
      </c>
      <c r="N294" s="66">
        <f t="shared" si="58"/>
        <v>0</v>
      </c>
      <c r="O294" s="67">
        <f t="shared" si="53"/>
        <v>52.1</v>
      </c>
    </row>
    <row r="295" spans="1:15" s="107" customFormat="1" x14ac:dyDescent="0.2">
      <c r="A295" s="64" t="str">
        <f ca="1">IF(ISERROR(MATCH(F295,Код_КВР,0)),"",INDIRECT(ADDRESS(MATCH(F295,Код_КВР,0)+1,2,,,"КВР")))</f>
        <v>Субсидии бюджетным учреждениям</v>
      </c>
      <c r="B295" s="26">
        <v>801</v>
      </c>
      <c r="C295" s="65" t="s">
        <v>60</v>
      </c>
      <c r="D295" s="65" t="s">
        <v>78</v>
      </c>
      <c r="E295" s="26" t="s">
        <v>309</v>
      </c>
      <c r="F295" s="26">
        <v>610</v>
      </c>
      <c r="G295" s="66">
        <v>52.1</v>
      </c>
      <c r="H295" s="67"/>
      <c r="I295" s="67">
        <f t="shared" si="59"/>
        <v>52.1</v>
      </c>
      <c r="J295" s="66"/>
      <c r="K295" s="67">
        <f t="shared" si="55"/>
        <v>52.1</v>
      </c>
      <c r="L295" s="66"/>
      <c r="M295" s="67">
        <f t="shared" si="56"/>
        <v>52.1</v>
      </c>
      <c r="N295" s="66"/>
      <c r="O295" s="67">
        <f t="shared" si="53"/>
        <v>52.1</v>
      </c>
    </row>
    <row r="296" spans="1:15" s="107" customFormat="1" ht="33" x14ac:dyDescent="0.2">
      <c r="A296" s="64" t="str">
        <f ca="1">IF(ISERROR(MATCH(E296,Код_КЦСР,0)),"",INDIRECT(ADDRESS(MATCH(E296,Код_КЦСР,0)+1,2,,,"КЦСР")))</f>
        <v>Муниципальная программа «Развитие земельно-имущественного комплекса города Череповца» на 2014 – 2022 годы</v>
      </c>
      <c r="B296" s="26">
        <v>801</v>
      </c>
      <c r="C296" s="65" t="s">
        <v>60</v>
      </c>
      <c r="D296" s="65" t="s">
        <v>78</v>
      </c>
      <c r="E296" s="26" t="s">
        <v>356</v>
      </c>
      <c r="F296" s="26"/>
      <c r="G296" s="66">
        <f t="shared" ref="G296:N298" si="60">G297</f>
        <v>20</v>
      </c>
      <c r="H296" s="66">
        <f t="shared" si="60"/>
        <v>0</v>
      </c>
      <c r="I296" s="67">
        <f t="shared" si="59"/>
        <v>20</v>
      </c>
      <c r="J296" s="66">
        <f t="shared" si="60"/>
        <v>0</v>
      </c>
      <c r="K296" s="67">
        <f t="shared" si="55"/>
        <v>20</v>
      </c>
      <c r="L296" s="66">
        <f t="shared" si="60"/>
        <v>0</v>
      </c>
      <c r="M296" s="67">
        <f t="shared" si="56"/>
        <v>20</v>
      </c>
      <c r="N296" s="66">
        <f t="shared" si="60"/>
        <v>0</v>
      </c>
      <c r="O296" s="67">
        <f t="shared" si="53"/>
        <v>20</v>
      </c>
    </row>
    <row r="297" spans="1:15" s="107" customFormat="1" ht="33" x14ac:dyDescent="0.2">
      <c r="A297" s="64" t="str">
        <f ca="1">IF(ISERROR(MATCH(E297,Код_КЦСР,0)),"",INDIRECT(ADDRESS(MATCH(E297,Код_КЦСР,0)+1,2,,,"КЦСР")))</f>
        <v>Формирование и обеспечение сохранности муниципального земельно-имущественного комплекса</v>
      </c>
      <c r="B297" s="26">
        <v>801</v>
      </c>
      <c r="C297" s="65" t="s">
        <v>60</v>
      </c>
      <c r="D297" s="65" t="s">
        <v>78</v>
      </c>
      <c r="E297" s="26" t="s">
        <v>357</v>
      </c>
      <c r="F297" s="26"/>
      <c r="G297" s="66">
        <f t="shared" si="60"/>
        <v>20</v>
      </c>
      <c r="H297" s="66">
        <f t="shared" si="60"/>
        <v>0</v>
      </c>
      <c r="I297" s="67">
        <f t="shared" si="59"/>
        <v>20</v>
      </c>
      <c r="J297" s="66">
        <f t="shared" si="60"/>
        <v>0</v>
      </c>
      <c r="K297" s="67">
        <f t="shared" si="55"/>
        <v>20</v>
      </c>
      <c r="L297" s="66">
        <f t="shared" si="60"/>
        <v>0</v>
      </c>
      <c r="M297" s="67">
        <f t="shared" si="56"/>
        <v>20</v>
      </c>
      <c r="N297" s="66">
        <f t="shared" si="60"/>
        <v>0</v>
      </c>
      <c r="O297" s="67">
        <f t="shared" si="53"/>
        <v>20</v>
      </c>
    </row>
    <row r="298" spans="1:15" s="107" customFormat="1" ht="33" x14ac:dyDescent="0.2">
      <c r="A298" s="64" t="str">
        <f ca="1">IF(ISERROR(MATCH(F298,Код_КВР,0)),"",INDIRECT(ADDRESS(MATCH(F298,Код_КВР,0)+1,2,,,"КВР")))</f>
        <v>Предоставление субсидий бюджетным, автономным учреждениям и иным некоммерческим организациям</v>
      </c>
      <c r="B298" s="26">
        <v>801</v>
      </c>
      <c r="C298" s="65" t="s">
        <v>60</v>
      </c>
      <c r="D298" s="65" t="s">
        <v>78</v>
      </c>
      <c r="E298" s="26" t="s">
        <v>357</v>
      </c>
      <c r="F298" s="26">
        <v>600</v>
      </c>
      <c r="G298" s="66">
        <f t="shared" si="60"/>
        <v>20</v>
      </c>
      <c r="H298" s="66">
        <f t="shared" si="60"/>
        <v>0</v>
      </c>
      <c r="I298" s="67">
        <f t="shared" si="59"/>
        <v>20</v>
      </c>
      <c r="J298" s="66">
        <f t="shared" si="60"/>
        <v>0</v>
      </c>
      <c r="K298" s="67">
        <f t="shared" si="55"/>
        <v>20</v>
      </c>
      <c r="L298" s="66">
        <f t="shared" si="60"/>
        <v>0</v>
      </c>
      <c r="M298" s="67">
        <f t="shared" si="56"/>
        <v>20</v>
      </c>
      <c r="N298" s="66">
        <f t="shared" si="60"/>
        <v>0</v>
      </c>
      <c r="O298" s="67">
        <f t="shared" si="53"/>
        <v>20</v>
      </c>
    </row>
    <row r="299" spans="1:15" s="107" customFormat="1" x14ac:dyDescent="0.2">
      <c r="A299" s="64" t="str">
        <f ca="1">IF(ISERROR(MATCH(F299,Код_КВР,0)),"",INDIRECT(ADDRESS(MATCH(F299,Код_КВР,0)+1,2,,,"КВР")))</f>
        <v>Субсидии бюджетным учреждениям</v>
      </c>
      <c r="B299" s="26">
        <v>801</v>
      </c>
      <c r="C299" s="65" t="s">
        <v>60</v>
      </c>
      <c r="D299" s="65" t="s">
        <v>78</v>
      </c>
      <c r="E299" s="26" t="s">
        <v>357</v>
      </c>
      <c r="F299" s="26">
        <v>610</v>
      </c>
      <c r="G299" s="66">
        <v>20</v>
      </c>
      <c r="H299" s="67"/>
      <c r="I299" s="67">
        <f t="shared" si="59"/>
        <v>20</v>
      </c>
      <c r="J299" s="66"/>
      <c r="K299" s="67">
        <f t="shared" si="55"/>
        <v>20</v>
      </c>
      <c r="L299" s="66"/>
      <c r="M299" s="67">
        <f t="shared" si="56"/>
        <v>20</v>
      </c>
      <c r="N299" s="66"/>
      <c r="O299" s="67">
        <f t="shared" si="53"/>
        <v>20</v>
      </c>
    </row>
    <row r="300" spans="1:15" s="107" customFormat="1" ht="33" x14ac:dyDescent="0.2">
      <c r="A300" s="64" t="str">
        <f ca="1">IF(ISERROR(MATCH(E300,Код_КЦСР,0)),"",INDIRECT(ADDRESS(MATCH(E300,Код_КЦСР,0)+1,2,,,"КЦСР")))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300" s="26">
        <v>801</v>
      </c>
      <c r="C300" s="65" t="s">
        <v>60</v>
      </c>
      <c r="D300" s="65" t="s">
        <v>78</v>
      </c>
      <c r="E300" s="26" t="s">
        <v>369</v>
      </c>
      <c r="F300" s="26"/>
      <c r="G300" s="66">
        <f>G301+G304+G307</f>
        <v>29.5</v>
      </c>
      <c r="H300" s="66">
        <f>H301+H304+H307</f>
        <v>0</v>
      </c>
      <c r="I300" s="67">
        <f t="shared" si="59"/>
        <v>29.5</v>
      </c>
      <c r="J300" s="66">
        <f>J301+J304+J307</f>
        <v>0</v>
      </c>
      <c r="K300" s="67">
        <f t="shared" si="55"/>
        <v>29.5</v>
      </c>
      <c r="L300" s="66">
        <f>L301+L304+L307</f>
        <v>0</v>
      </c>
      <c r="M300" s="67">
        <f t="shared" si="56"/>
        <v>29.5</v>
      </c>
      <c r="N300" s="66">
        <f>N301+N304+N307</f>
        <v>0</v>
      </c>
      <c r="O300" s="67">
        <f t="shared" si="53"/>
        <v>29.5</v>
      </c>
    </row>
    <row r="301" spans="1:15" s="107" customFormat="1" ht="49.5" x14ac:dyDescent="0.2">
      <c r="A301" s="64" t="str">
        <f ca="1">IF(ISERROR(MATCH(E301,Код_КЦСР,0)),"",INDIRECT(ADDRESS(MATCH(E301,Код_КЦСР,0)+1,2,,,"КЦСР")))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v>
      </c>
      <c r="B301" s="26">
        <v>801</v>
      </c>
      <c r="C301" s="65" t="s">
        <v>60</v>
      </c>
      <c r="D301" s="65" t="s">
        <v>78</v>
      </c>
      <c r="E301" s="26" t="s">
        <v>454</v>
      </c>
      <c r="F301" s="26"/>
      <c r="G301" s="66">
        <f>G302</f>
        <v>15.8</v>
      </c>
      <c r="H301" s="66">
        <f>H302</f>
        <v>0</v>
      </c>
      <c r="I301" s="67">
        <f t="shared" si="59"/>
        <v>15.8</v>
      </c>
      <c r="J301" s="66">
        <f>J302</f>
        <v>0</v>
      </c>
      <c r="K301" s="67">
        <f t="shared" si="55"/>
        <v>15.8</v>
      </c>
      <c r="L301" s="66">
        <f>L302</f>
        <v>0</v>
      </c>
      <c r="M301" s="67">
        <f t="shared" si="56"/>
        <v>15.8</v>
      </c>
      <c r="N301" s="66">
        <f>N302</f>
        <v>0</v>
      </c>
      <c r="O301" s="67">
        <f t="shared" si="53"/>
        <v>15.8</v>
      </c>
    </row>
    <row r="302" spans="1:15" s="107" customFormat="1" ht="33" x14ac:dyDescent="0.2">
      <c r="A302" s="64" t="str">
        <f ca="1">IF(ISERROR(MATCH(F302,Код_КВР,0)),"",INDIRECT(ADDRESS(MATCH(F302,Код_КВР,0)+1,2,,,"КВР")))</f>
        <v>Закупка товаров, работ и услуг для обеспечения государственных (муниципальных) нужд</v>
      </c>
      <c r="B302" s="26">
        <v>801</v>
      </c>
      <c r="C302" s="65" t="s">
        <v>60</v>
      </c>
      <c r="D302" s="65" t="s">
        <v>78</v>
      </c>
      <c r="E302" s="26" t="s">
        <v>454</v>
      </c>
      <c r="F302" s="26">
        <v>200</v>
      </c>
      <c r="G302" s="66">
        <f>G303</f>
        <v>15.8</v>
      </c>
      <c r="H302" s="66">
        <f>H303</f>
        <v>0</v>
      </c>
      <c r="I302" s="67">
        <f t="shared" si="59"/>
        <v>15.8</v>
      </c>
      <c r="J302" s="66">
        <f>J303</f>
        <v>0</v>
      </c>
      <c r="K302" s="67">
        <f t="shared" si="55"/>
        <v>15.8</v>
      </c>
      <c r="L302" s="66">
        <f>L303</f>
        <v>0</v>
      </c>
      <c r="M302" s="67">
        <f t="shared" si="56"/>
        <v>15.8</v>
      </c>
      <c r="N302" s="66">
        <f>N303</f>
        <v>0</v>
      </c>
      <c r="O302" s="67">
        <f t="shared" si="53"/>
        <v>15.8</v>
      </c>
    </row>
    <row r="303" spans="1:15" s="107" customFormat="1" ht="33" x14ac:dyDescent="0.2">
      <c r="A303" s="64" t="str">
        <f ca="1">IF(ISERROR(MATCH(F303,Код_КВР,0)),"",INDIRECT(ADDRESS(MATCH(F303,Код_КВР,0)+1,2,,,"КВР")))</f>
        <v>Иные закупки товаров, работ и услуг для обеспечения государственных (муниципальных) нужд</v>
      </c>
      <c r="B303" s="26">
        <v>801</v>
      </c>
      <c r="C303" s="65" t="s">
        <v>60</v>
      </c>
      <c r="D303" s="65" t="s">
        <v>78</v>
      </c>
      <c r="E303" s="26" t="s">
        <v>454</v>
      </c>
      <c r="F303" s="26">
        <v>240</v>
      </c>
      <c r="G303" s="66">
        <v>15.8</v>
      </c>
      <c r="H303" s="67"/>
      <c r="I303" s="67">
        <f t="shared" si="59"/>
        <v>15.8</v>
      </c>
      <c r="J303" s="66"/>
      <c r="K303" s="67">
        <f t="shared" si="55"/>
        <v>15.8</v>
      </c>
      <c r="L303" s="66"/>
      <c r="M303" s="67">
        <f t="shared" si="56"/>
        <v>15.8</v>
      </c>
      <c r="N303" s="66"/>
      <c r="O303" s="67">
        <f t="shared" si="53"/>
        <v>15.8</v>
      </c>
    </row>
    <row r="304" spans="1:15" s="107" customFormat="1" ht="49.5" x14ac:dyDescent="0.2">
      <c r="A304" s="64" t="str">
        <f ca="1">IF(ISERROR(MATCH(E304,Код_КЦСР,0)),"",INDIRECT(ADDRESS(MATCH(E304,Код_КЦСР,0)+1,2,,,"КЦСР")))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v>
      </c>
      <c r="B304" s="26">
        <v>801</v>
      </c>
      <c r="C304" s="65" t="s">
        <v>60</v>
      </c>
      <c r="D304" s="65" t="s">
        <v>78</v>
      </c>
      <c r="E304" s="26" t="s">
        <v>456</v>
      </c>
      <c r="F304" s="26"/>
      <c r="G304" s="66">
        <f>G305</f>
        <v>13.7</v>
      </c>
      <c r="H304" s="66">
        <f>H305</f>
        <v>0</v>
      </c>
      <c r="I304" s="67">
        <f t="shared" si="59"/>
        <v>13.7</v>
      </c>
      <c r="J304" s="66">
        <f>J305</f>
        <v>0</v>
      </c>
      <c r="K304" s="67">
        <f t="shared" si="55"/>
        <v>13.7</v>
      </c>
      <c r="L304" s="66">
        <f>L305</f>
        <v>0</v>
      </c>
      <c r="M304" s="67">
        <f t="shared" si="56"/>
        <v>13.7</v>
      </c>
      <c r="N304" s="66">
        <f>N305</f>
        <v>0</v>
      </c>
      <c r="O304" s="67">
        <f t="shared" si="53"/>
        <v>13.7</v>
      </c>
    </row>
    <row r="305" spans="1:15" s="107" customFormat="1" ht="33" x14ac:dyDescent="0.2">
      <c r="A305" s="64" t="str">
        <f ca="1">IF(ISERROR(MATCH(F305,Код_КВР,0)),"",INDIRECT(ADDRESS(MATCH(F305,Код_КВР,0)+1,2,,,"КВР")))</f>
        <v>Предоставление субсидий бюджетным, автономным учреждениям и иным некоммерческим организациям</v>
      </c>
      <c r="B305" s="26">
        <v>801</v>
      </c>
      <c r="C305" s="65" t="s">
        <v>60</v>
      </c>
      <c r="D305" s="65" t="s">
        <v>78</v>
      </c>
      <c r="E305" s="26" t="s">
        <v>456</v>
      </c>
      <c r="F305" s="26">
        <v>600</v>
      </c>
      <c r="G305" s="66">
        <f>G306</f>
        <v>13.7</v>
      </c>
      <c r="H305" s="66">
        <f>H306</f>
        <v>0</v>
      </c>
      <c r="I305" s="67">
        <f t="shared" si="59"/>
        <v>13.7</v>
      </c>
      <c r="J305" s="66">
        <f>J306</f>
        <v>0</v>
      </c>
      <c r="K305" s="67">
        <f t="shared" si="55"/>
        <v>13.7</v>
      </c>
      <c r="L305" s="66">
        <f>L306</f>
        <v>0</v>
      </c>
      <c r="M305" s="67">
        <f t="shared" si="56"/>
        <v>13.7</v>
      </c>
      <c r="N305" s="66">
        <f>N306</f>
        <v>0</v>
      </c>
      <c r="O305" s="67">
        <f t="shared" si="53"/>
        <v>13.7</v>
      </c>
    </row>
    <row r="306" spans="1:15" s="107" customFormat="1" ht="22.5" customHeight="1" x14ac:dyDescent="0.2">
      <c r="A306" s="64" t="str">
        <f ca="1">IF(ISERROR(MATCH(F306,Код_КВР,0)),"",INDIRECT(ADDRESS(MATCH(F306,Код_КВР,0)+1,2,,,"КВР")))</f>
        <v>Субсидии бюджетным учреждениям</v>
      </c>
      <c r="B306" s="26">
        <v>801</v>
      </c>
      <c r="C306" s="65" t="s">
        <v>60</v>
      </c>
      <c r="D306" s="65" t="s">
        <v>78</v>
      </c>
      <c r="E306" s="26" t="s">
        <v>456</v>
      </c>
      <c r="F306" s="26">
        <v>610</v>
      </c>
      <c r="G306" s="66">
        <v>13.7</v>
      </c>
      <c r="H306" s="67"/>
      <c r="I306" s="67">
        <f t="shared" si="59"/>
        <v>13.7</v>
      </c>
      <c r="J306" s="66"/>
      <c r="K306" s="67">
        <f t="shared" si="55"/>
        <v>13.7</v>
      </c>
      <c r="L306" s="66"/>
      <c r="M306" s="67">
        <f t="shared" si="56"/>
        <v>13.7</v>
      </c>
      <c r="N306" s="66"/>
      <c r="O306" s="67">
        <f t="shared" si="53"/>
        <v>13.7</v>
      </c>
    </row>
    <row r="307" spans="1:15" s="107" customFormat="1" ht="33" hidden="1" x14ac:dyDescent="0.2">
      <c r="A307" s="64" t="str">
        <f ca="1">IF(ISERROR(MATCH(E307,Код_КЦСР,0)),"",INDIRECT(ADDRESS(MATCH(E307,Код_КЦСР,0)+1,2,,,"КЦСР")))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307" s="26">
        <v>801</v>
      </c>
      <c r="C307" s="65" t="s">
        <v>60</v>
      </c>
      <c r="D307" s="65" t="s">
        <v>78</v>
      </c>
      <c r="E307" s="26" t="s">
        <v>378</v>
      </c>
      <c r="F307" s="26"/>
      <c r="G307" s="66">
        <f>G308</f>
        <v>0</v>
      </c>
      <c r="H307" s="67"/>
      <c r="I307" s="67">
        <f t="shared" si="59"/>
        <v>0</v>
      </c>
      <c r="J307" s="66">
        <f>J308</f>
        <v>0</v>
      </c>
      <c r="K307" s="67">
        <f t="shared" si="55"/>
        <v>0</v>
      </c>
      <c r="L307" s="66">
        <f>L308</f>
        <v>0</v>
      </c>
      <c r="M307" s="67">
        <f t="shared" si="56"/>
        <v>0</v>
      </c>
      <c r="N307" s="66">
        <f>N308</f>
        <v>0</v>
      </c>
      <c r="O307" s="67">
        <f t="shared" si="53"/>
        <v>0</v>
      </c>
    </row>
    <row r="308" spans="1:15" s="107" customFormat="1" ht="33" hidden="1" x14ac:dyDescent="0.2">
      <c r="A308" s="64" t="str">
        <f ca="1">IF(ISERROR(MATCH(E308,Код_КЦСР,0)),"",INDIRECT(ADDRESS(MATCH(E308,Код_КЦСР,0)+1,2,,,"КЦСР")))</f>
        <v>Организация и проведение обучения должностных лиц и специалистов ГО и ЧС</v>
      </c>
      <c r="B308" s="26">
        <v>801</v>
      </c>
      <c r="C308" s="65" t="s">
        <v>60</v>
      </c>
      <c r="D308" s="65" t="s">
        <v>78</v>
      </c>
      <c r="E308" s="26" t="s">
        <v>380</v>
      </c>
      <c r="F308" s="26"/>
      <c r="G308" s="66">
        <f>G309</f>
        <v>0</v>
      </c>
      <c r="H308" s="67"/>
      <c r="I308" s="67">
        <f t="shared" si="59"/>
        <v>0</v>
      </c>
      <c r="J308" s="66">
        <f>J309</f>
        <v>0</v>
      </c>
      <c r="K308" s="67">
        <f t="shared" si="55"/>
        <v>0</v>
      </c>
      <c r="L308" s="66">
        <f>L309</f>
        <v>0</v>
      </c>
      <c r="M308" s="67">
        <f t="shared" si="56"/>
        <v>0</v>
      </c>
      <c r="N308" s="66">
        <f>N309</f>
        <v>0</v>
      </c>
      <c r="O308" s="67">
        <f t="shared" si="53"/>
        <v>0</v>
      </c>
    </row>
    <row r="309" spans="1:15" s="107" customFormat="1" ht="33" hidden="1" x14ac:dyDescent="0.2">
      <c r="A309" s="64" t="str">
        <f ca="1">IF(ISERROR(MATCH(F309,Код_КВР,0)),"",INDIRECT(ADDRESS(MATCH(F309,Код_КВР,0)+1,2,,,"КВР")))</f>
        <v>Закупка товаров, работ и услуг для обеспечения государственных (муниципальных) нужд</v>
      </c>
      <c r="B309" s="26">
        <v>801</v>
      </c>
      <c r="C309" s="65" t="s">
        <v>60</v>
      </c>
      <c r="D309" s="65" t="s">
        <v>78</v>
      </c>
      <c r="E309" s="26" t="s">
        <v>380</v>
      </c>
      <c r="F309" s="26">
        <v>200</v>
      </c>
      <c r="G309" s="66">
        <f>G310</f>
        <v>0</v>
      </c>
      <c r="H309" s="67"/>
      <c r="I309" s="67">
        <f t="shared" si="59"/>
        <v>0</v>
      </c>
      <c r="J309" s="66">
        <f>J310</f>
        <v>0</v>
      </c>
      <c r="K309" s="67">
        <f t="shared" si="55"/>
        <v>0</v>
      </c>
      <c r="L309" s="66">
        <f>L310</f>
        <v>0</v>
      </c>
      <c r="M309" s="67">
        <f t="shared" si="56"/>
        <v>0</v>
      </c>
      <c r="N309" s="66">
        <f>N310</f>
        <v>0</v>
      </c>
      <c r="O309" s="67">
        <f t="shared" si="53"/>
        <v>0</v>
      </c>
    </row>
    <row r="310" spans="1:15" s="107" customFormat="1" ht="33" hidden="1" x14ac:dyDescent="0.2">
      <c r="A310" s="64" t="str">
        <f ca="1">IF(ISERROR(MATCH(F310,Код_КВР,0)),"",INDIRECT(ADDRESS(MATCH(F310,Код_КВР,0)+1,2,,,"КВР")))</f>
        <v>Иные закупки товаров, работ и услуг для обеспечения государственных (муниципальных) нужд</v>
      </c>
      <c r="B310" s="26">
        <v>801</v>
      </c>
      <c r="C310" s="65" t="s">
        <v>60</v>
      </c>
      <c r="D310" s="65" t="s">
        <v>78</v>
      </c>
      <c r="E310" s="26" t="s">
        <v>380</v>
      </c>
      <c r="F310" s="26">
        <v>240</v>
      </c>
      <c r="G310" s="66"/>
      <c r="H310" s="67"/>
      <c r="I310" s="67">
        <f t="shared" si="59"/>
        <v>0</v>
      </c>
      <c r="J310" s="66"/>
      <c r="K310" s="67">
        <f t="shared" si="55"/>
        <v>0</v>
      </c>
      <c r="L310" s="66"/>
      <c r="M310" s="67">
        <f t="shared" si="56"/>
        <v>0</v>
      </c>
      <c r="N310" s="66"/>
      <c r="O310" s="67">
        <f t="shared" si="53"/>
        <v>0</v>
      </c>
    </row>
    <row r="311" spans="1:15" s="90" customFormat="1" ht="33" x14ac:dyDescent="0.2">
      <c r="A311" s="52" t="str">
        <f ca="1">IF(ISERROR(MATCH(E311,Код_КЦСР,0)),"",INDIRECT(ADDRESS(MATCH(E311,Код_КЦСР,0)+1,2,,,"КЦСР")))</f>
        <v>Муниципальная программа «Совершенствование муниципального управления в городе Череповце» на 2014 – 2020 годы</v>
      </c>
      <c r="B311" s="25">
        <v>801</v>
      </c>
      <c r="C311" s="87" t="s">
        <v>60</v>
      </c>
      <c r="D311" s="87" t="s">
        <v>78</v>
      </c>
      <c r="E311" s="25" t="s">
        <v>381</v>
      </c>
      <c r="F311" s="25"/>
      <c r="G311" s="88">
        <f>G312+G316+G320</f>
        <v>146</v>
      </c>
      <c r="H311" s="88">
        <f>H312+H316+H320</f>
        <v>0</v>
      </c>
      <c r="I311" s="67">
        <f t="shared" si="59"/>
        <v>146</v>
      </c>
      <c r="J311" s="88">
        <f>J312+J316+J320</f>
        <v>0</v>
      </c>
      <c r="K311" s="67">
        <f t="shared" si="55"/>
        <v>146</v>
      </c>
      <c r="L311" s="88">
        <f>L312+L316+L320</f>
        <v>15</v>
      </c>
      <c r="M311" s="67">
        <f t="shared" si="56"/>
        <v>161</v>
      </c>
      <c r="N311" s="88">
        <f>N312+N316+N320</f>
        <v>0</v>
      </c>
      <c r="O311" s="67">
        <f t="shared" si="53"/>
        <v>161</v>
      </c>
    </row>
    <row r="312" spans="1:15" s="90" customFormat="1" ht="33" x14ac:dyDescent="0.2">
      <c r="A312" s="52" t="str">
        <f ca="1">IF(ISERROR(MATCH(E312,Код_КЦСР,0)),"",INDIRECT(ADDRESS(MATCH(E312,Код_КЦСР,0)+1,2,,,"КЦСР")))</f>
        <v>Создание условий для обеспечения выполнения органами муниципальной власти своих полномочий</v>
      </c>
      <c r="B312" s="25">
        <v>801</v>
      </c>
      <c r="C312" s="87" t="s">
        <v>60</v>
      </c>
      <c r="D312" s="87" t="s">
        <v>78</v>
      </c>
      <c r="E312" s="25" t="s">
        <v>382</v>
      </c>
      <c r="F312" s="25"/>
      <c r="G312" s="88">
        <f t="shared" ref="G312:N314" si="61">G313</f>
        <v>16</v>
      </c>
      <c r="H312" s="88">
        <f t="shared" si="61"/>
        <v>0</v>
      </c>
      <c r="I312" s="67">
        <f t="shared" si="59"/>
        <v>16</v>
      </c>
      <c r="J312" s="88">
        <f t="shared" si="61"/>
        <v>0</v>
      </c>
      <c r="K312" s="67">
        <f t="shared" si="55"/>
        <v>16</v>
      </c>
      <c r="L312" s="88">
        <f t="shared" si="61"/>
        <v>15</v>
      </c>
      <c r="M312" s="67">
        <f t="shared" si="56"/>
        <v>31</v>
      </c>
      <c r="N312" s="88">
        <f t="shared" si="61"/>
        <v>0</v>
      </c>
      <c r="O312" s="67">
        <f t="shared" si="53"/>
        <v>31</v>
      </c>
    </row>
    <row r="313" spans="1:15" s="90" customFormat="1" ht="33" x14ac:dyDescent="0.2">
      <c r="A313" s="52" t="str">
        <f ca="1">IF(ISERROR(MATCH(E313,Код_КЦСР,0)),"",INDIRECT(ADDRESS(MATCH(E313,Код_КЦСР,0)+1,2,,,"КЦСР")))</f>
        <v>Материально-техническое обеспечение деятельности муниципальных служащих органов местного самоуправления</v>
      </c>
      <c r="B313" s="25">
        <v>801</v>
      </c>
      <c r="C313" s="87" t="s">
        <v>60</v>
      </c>
      <c r="D313" s="87" t="s">
        <v>78</v>
      </c>
      <c r="E313" s="25" t="s">
        <v>384</v>
      </c>
      <c r="F313" s="25"/>
      <c r="G313" s="88">
        <f t="shared" si="61"/>
        <v>16</v>
      </c>
      <c r="H313" s="88">
        <f t="shared" si="61"/>
        <v>0</v>
      </c>
      <c r="I313" s="67">
        <f t="shared" si="59"/>
        <v>16</v>
      </c>
      <c r="J313" s="88">
        <f t="shared" si="61"/>
        <v>0</v>
      </c>
      <c r="K313" s="67">
        <f t="shared" si="55"/>
        <v>16</v>
      </c>
      <c r="L313" s="88">
        <f t="shared" si="61"/>
        <v>15</v>
      </c>
      <c r="M313" s="67">
        <f t="shared" si="56"/>
        <v>31</v>
      </c>
      <c r="N313" s="88">
        <f t="shared" si="61"/>
        <v>0</v>
      </c>
      <c r="O313" s="67">
        <f t="shared" si="53"/>
        <v>31</v>
      </c>
    </row>
    <row r="314" spans="1:15" s="90" customFormat="1" ht="33" x14ac:dyDescent="0.2">
      <c r="A314" s="52" t="str">
        <f ca="1">IF(ISERROR(MATCH(F314,Код_КВР,0)),"",INDIRECT(ADDRESS(MATCH(F314,Код_КВР,0)+1,2,,,"КВР")))</f>
        <v>Закупка товаров, работ и услуг для обеспечения государственных (муниципальных) нужд</v>
      </c>
      <c r="B314" s="25">
        <v>801</v>
      </c>
      <c r="C314" s="87" t="s">
        <v>60</v>
      </c>
      <c r="D314" s="87" t="s">
        <v>78</v>
      </c>
      <c r="E314" s="25" t="s">
        <v>384</v>
      </c>
      <c r="F314" s="25">
        <v>200</v>
      </c>
      <c r="G314" s="88">
        <f t="shared" si="61"/>
        <v>16</v>
      </c>
      <c r="H314" s="88">
        <f t="shared" si="61"/>
        <v>0</v>
      </c>
      <c r="I314" s="67">
        <f t="shared" si="59"/>
        <v>16</v>
      </c>
      <c r="J314" s="88">
        <f t="shared" si="61"/>
        <v>0</v>
      </c>
      <c r="K314" s="67">
        <f t="shared" si="55"/>
        <v>16</v>
      </c>
      <c r="L314" s="88">
        <f t="shared" si="61"/>
        <v>15</v>
      </c>
      <c r="M314" s="67">
        <f t="shared" si="56"/>
        <v>31</v>
      </c>
      <c r="N314" s="88">
        <f t="shared" si="61"/>
        <v>0</v>
      </c>
      <c r="O314" s="67">
        <f t="shared" si="53"/>
        <v>31</v>
      </c>
    </row>
    <row r="315" spans="1:15" s="90" customFormat="1" ht="33" x14ac:dyDescent="0.2">
      <c r="A315" s="52" t="str">
        <f ca="1">IF(ISERROR(MATCH(F315,Код_КВР,0)),"",INDIRECT(ADDRESS(MATCH(F315,Код_КВР,0)+1,2,,,"КВР")))</f>
        <v>Иные закупки товаров, работ и услуг для обеспечения государственных (муниципальных) нужд</v>
      </c>
      <c r="B315" s="25">
        <v>801</v>
      </c>
      <c r="C315" s="87" t="s">
        <v>60</v>
      </c>
      <c r="D315" s="87" t="s">
        <v>78</v>
      </c>
      <c r="E315" s="25" t="s">
        <v>384</v>
      </c>
      <c r="F315" s="25">
        <v>240</v>
      </c>
      <c r="G315" s="88">
        <f>16</f>
        <v>16</v>
      </c>
      <c r="H315" s="89"/>
      <c r="I315" s="67">
        <f t="shared" si="59"/>
        <v>16</v>
      </c>
      <c r="J315" s="88"/>
      <c r="K315" s="67">
        <f t="shared" si="55"/>
        <v>16</v>
      </c>
      <c r="L315" s="88">
        <v>15</v>
      </c>
      <c r="M315" s="67">
        <f t="shared" si="56"/>
        <v>31</v>
      </c>
      <c r="N315" s="88"/>
      <c r="O315" s="67">
        <f t="shared" si="53"/>
        <v>31</v>
      </c>
    </row>
    <row r="316" spans="1:15" s="90" customFormat="1" ht="24" customHeight="1" x14ac:dyDescent="0.2">
      <c r="A316" s="52" t="str">
        <f ca="1">IF(ISERROR(MATCH(E316,Код_КЦСР,0)),"",INDIRECT(ADDRESS(MATCH(E316,Код_КЦСР,0)+1,2,,,"КЦСР")))</f>
        <v>Развитие муниципальной службы в мэрии города Череповца</v>
      </c>
      <c r="B316" s="25">
        <v>801</v>
      </c>
      <c r="C316" s="87" t="s">
        <v>60</v>
      </c>
      <c r="D316" s="87" t="s">
        <v>78</v>
      </c>
      <c r="E316" s="25" t="s">
        <v>385</v>
      </c>
      <c r="F316" s="25"/>
      <c r="G316" s="88">
        <f t="shared" ref="G316:N318" si="62">G317</f>
        <v>115</v>
      </c>
      <c r="H316" s="88">
        <f t="shared" si="62"/>
        <v>0</v>
      </c>
      <c r="I316" s="67">
        <f t="shared" si="59"/>
        <v>115</v>
      </c>
      <c r="J316" s="88">
        <f t="shared" si="62"/>
        <v>0</v>
      </c>
      <c r="K316" s="67">
        <f t="shared" si="55"/>
        <v>115</v>
      </c>
      <c r="L316" s="88">
        <f t="shared" si="62"/>
        <v>0</v>
      </c>
      <c r="M316" s="67">
        <f t="shared" si="56"/>
        <v>115</v>
      </c>
      <c r="N316" s="88">
        <f t="shared" si="62"/>
        <v>0</v>
      </c>
      <c r="O316" s="67">
        <f t="shared" si="53"/>
        <v>115</v>
      </c>
    </row>
    <row r="317" spans="1:15" s="90" customFormat="1" ht="49.5" x14ac:dyDescent="0.2">
      <c r="A317" s="52" t="str">
        <f ca="1">IF(ISERROR(MATCH(E317,Код_КЦСР,0)),"",INDIRECT(ADDRESS(MATCH(E317,Код_КЦСР,0)+1,2,,,"КЦСР")))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 мэрии города</v>
      </c>
      <c r="B317" s="25">
        <v>801</v>
      </c>
      <c r="C317" s="87" t="s">
        <v>60</v>
      </c>
      <c r="D317" s="87" t="s">
        <v>78</v>
      </c>
      <c r="E317" s="25" t="s">
        <v>589</v>
      </c>
      <c r="F317" s="25"/>
      <c r="G317" s="88">
        <f t="shared" si="62"/>
        <v>115</v>
      </c>
      <c r="H317" s="88">
        <f t="shared" si="62"/>
        <v>0</v>
      </c>
      <c r="I317" s="67">
        <f t="shared" si="59"/>
        <v>115</v>
      </c>
      <c r="J317" s="88">
        <f t="shared" si="62"/>
        <v>0</v>
      </c>
      <c r="K317" s="67">
        <f t="shared" si="55"/>
        <v>115</v>
      </c>
      <c r="L317" s="88">
        <f t="shared" si="62"/>
        <v>0</v>
      </c>
      <c r="M317" s="67">
        <f t="shared" si="56"/>
        <v>115</v>
      </c>
      <c r="N317" s="88">
        <f t="shared" si="62"/>
        <v>0</v>
      </c>
      <c r="O317" s="67">
        <f t="shared" si="53"/>
        <v>115</v>
      </c>
    </row>
    <row r="318" spans="1:15" s="90" customFormat="1" ht="33" x14ac:dyDescent="0.2">
      <c r="A318" s="52" t="str">
        <f ca="1">IF(ISERROR(MATCH(F318,Код_КВР,0)),"",INDIRECT(ADDRESS(MATCH(F318,Код_КВР,0)+1,2,,,"КВР")))</f>
        <v>Закупка товаров, работ и услуг для обеспечения государственных (муниципальных) нужд</v>
      </c>
      <c r="B318" s="25">
        <v>801</v>
      </c>
      <c r="C318" s="87" t="s">
        <v>60</v>
      </c>
      <c r="D318" s="87" t="s">
        <v>78</v>
      </c>
      <c r="E318" s="25" t="s">
        <v>589</v>
      </c>
      <c r="F318" s="25">
        <v>200</v>
      </c>
      <c r="G318" s="88">
        <f t="shared" si="62"/>
        <v>115</v>
      </c>
      <c r="H318" s="88">
        <f t="shared" si="62"/>
        <v>0</v>
      </c>
      <c r="I318" s="67">
        <f t="shared" si="59"/>
        <v>115</v>
      </c>
      <c r="J318" s="88">
        <f t="shared" si="62"/>
        <v>0</v>
      </c>
      <c r="K318" s="67">
        <f t="shared" si="55"/>
        <v>115</v>
      </c>
      <c r="L318" s="88">
        <f t="shared" si="62"/>
        <v>0</v>
      </c>
      <c r="M318" s="67">
        <f t="shared" si="56"/>
        <v>115</v>
      </c>
      <c r="N318" s="88">
        <f t="shared" si="62"/>
        <v>0</v>
      </c>
      <c r="O318" s="67">
        <f t="shared" si="53"/>
        <v>115</v>
      </c>
    </row>
    <row r="319" spans="1:15" s="90" customFormat="1" ht="33" x14ac:dyDescent="0.2">
      <c r="A319" s="52" t="str">
        <f ca="1">IF(ISERROR(MATCH(F319,Код_КВР,0)),"",INDIRECT(ADDRESS(MATCH(F319,Код_КВР,0)+1,2,,,"КВР")))</f>
        <v>Иные закупки товаров, работ и услуг для обеспечения государственных (муниципальных) нужд</v>
      </c>
      <c r="B319" s="25">
        <v>801</v>
      </c>
      <c r="C319" s="87" t="s">
        <v>60</v>
      </c>
      <c r="D319" s="87" t="s">
        <v>78</v>
      </c>
      <c r="E319" s="25" t="s">
        <v>589</v>
      </c>
      <c r="F319" s="25">
        <v>240</v>
      </c>
      <c r="G319" s="88">
        <v>115</v>
      </c>
      <c r="H319" s="89"/>
      <c r="I319" s="67">
        <f t="shared" si="59"/>
        <v>115</v>
      </c>
      <c r="J319" s="88"/>
      <c r="K319" s="67">
        <f t="shared" si="55"/>
        <v>115</v>
      </c>
      <c r="L319" s="88"/>
      <c r="M319" s="67">
        <f t="shared" si="56"/>
        <v>115</v>
      </c>
      <c r="N319" s="88"/>
      <c r="O319" s="67">
        <f t="shared" si="53"/>
        <v>115</v>
      </c>
    </row>
    <row r="320" spans="1:15" s="90" customFormat="1" ht="49.5" x14ac:dyDescent="0.2">
      <c r="A320" s="52" t="str">
        <f ca="1">IF(ISERROR(MATCH(E320,Код_КЦСР,0)),"",INDIRECT(ADDRESS(MATCH(E320,Код_КЦСР,0)+1,2,,,"КЦСР")))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320" s="25">
        <v>801</v>
      </c>
      <c r="C320" s="87" t="s">
        <v>60</v>
      </c>
      <c r="D320" s="87" t="s">
        <v>78</v>
      </c>
      <c r="E320" s="25" t="s">
        <v>387</v>
      </c>
      <c r="F320" s="25"/>
      <c r="G320" s="88">
        <f t="shared" ref="G320:N323" si="63">G321</f>
        <v>15</v>
      </c>
      <c r="H320" s="88">
        <f t="shared" si="63"/>
        <v>0</v>
      </c>
      <c r="I320" s="67">
        <f t="shared" si="59"/>
        <v>15</v>
      </c>
      <c r="J320" s="88">
        <f t="shared" si="63"/>
        <v>0</v>
      </c>
      <c r="K320" s="67">
        <f t="shared" si="55"/>
        <v>15</v>
      </c>
      <c r="L320" s="88">
        <f t="shared" si="63"/>
        <v>0</v>
      </c>
      <c r="M320" s="67">
        <f t="shared" si="56"/>
        <v>15</v>
      </c>
      <c r="N320" s="88">
        <f t="shared" si="63"/>
        <v>0</v>
      </c>
      <c r="O320" s="67">
        <f t="shared" si="53"/>
        <v>15</v>
      </c>
    </row>
    <row r="321" spans="1:15" s="90" customFormat="1" ht="55.5" customHeight="1" x14ac:dyDescent="0.2">
      <c r="A321" s="52" t="str">
        <f ca="1">IF(ISERROR(MATCH(E321,Код_КЦСР,0)),"",INDIRECT(ADDRESS(MATCH(E321,Код_КЦСР,0)+1,2,,,"КЦСР")))</f>
        <v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</v>
      </c>
      <c r="B321" s="25">
        <v>801</v>
      </c>
      <c r="C321" s="87" t="s">
        <v>60</v>
      </c>
      <c r="D321" s="87" t="s">
        <v>78</v>
      </c>
      <c r="E321" s="25" t="s">
        <v>594</v>
      </c>
      <c r="F321" s="25"/>
      <c r="G321" s="88">
        <f t="shared" si="63"/>
        <v>15</v>
      </c>
      <c r="H321" s="88">
        <f t="shared" si="63"/>
        <v>0</v>
      </c>
      <c r="I321" s="67">
        <f t="shared" si="59"/>
        <v>15</v>
      </c>
      <c r="J321" s="88">
        <f t="shared" si="63"/>
        <v>0</v>
      </c>
      <c r="K321" s="67">
        <f t="shared" si="55"/>
        <v>15</v>
      </c>
      <c r="L321" s="88">
        <f t="shared" si="63"/>
        <v>0</v>
      </c>
      <c r="M321" s="67">
        <f t="shared" si="56"/>
        <v>15</v>
      </c>
      <c r="N321" s="88">
        <f t="shared" si="63"/>
        <v>0</v>
      </c>
      <c r="O321" s="67">
        <f t="shared" si="53"/>
        <v>15</v>
      </c>
    </row>
    <row r="322" spans="1:15" s="90" customFormat="1" ht="55.5" customHeight="1" x14ac:dyDescent="0.2">
      <c r="A322" s="52" t="str">
        <f ca="1">IF(ISERROR(MATCH(E322,Код_КЦСР,0)),"",INDIRECT(ADDRESS(MATCH(E322,Код_КЦСР,0)+1,2,,,"КЦСР")))</f>
        <v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качества, за счет средств городского бюджета</v>
      </c>
      <c r="B322" s="25">
        <v>801</v>
      </c>
      <c r="C322" s="87" t="s">
        <v>60</v>
      </c>
      <c r="D322" s="87" t="s">
        <v>78</v>
      </c>
      <c r="E322" s="25" t="s">
        <v>627</v>
      </c>
      <c r="F322" s="25"/>
      <c r="G322" s="88">
        <f t="shared" si="63"/>
        <v>15</v>
      </c>
      <c r="H322" s="88">
        <f t="shared" si="63"/>
        <v>0</v>
      </c>
      <c r="I322" s="67">
        <f t="shared" si="59"/>
        <v>15</v>
      </c>
      <c r="J322" s="88">
        <f t="shared" si="63"/>
        <v>0</v>
      </c>
      <c r="K322" s="67">
        <f t="shared" si="55"/>
        <v>15</v>
      </c>
      <c r="L322" s="88">
        <f t="shared" si="63"/>
        <v>0</v>
      </c>
      <c r="M322" s="67">
        <f t="shared" si="56"/>
        <v>15</v>
      </c>
      <c r="N322" s="88">
        <f t="shared" si="63"/>
        <v>0</v>
      </c>
      <c r="O322" s="67">
        <f t="shared" si="53"/>
        <v>15</v>
      </c>
    </row>
    <row r="323" spans="1:15" s="90" customFormat="1" ht="33" x14ac:dyDescent="0.2">
      <c r="A323" s="52" t="str">
        <f ca="1">IF(ISERROR(MATCH(F323,Код_КВР,0)),"",INDIRECT(ADDRESS(MATCH(F323,Код_КВР,0)+1,2,,,"КВР")))</f>
        <v>Предоставление субсидий бюджетным, автономным учреждениям и иным некоммерческим организациям</v>
      </c>
      <c r="B323" s="25">
        <v>801</v>
      </c>
      <c r="C323" s="87" t="s">
        <v>60</v>
      </c>
      <c r="D323" s="87" t="s">
        <v>78</v>
      </c>
      <c r="E323" s="25" t="s">
        <v>627</v>
      </c>
      <c r="F323" s="26">
        <v>600</v>
      </c>
      <c r="G323" s="88">
        <f t="shared" si="63"/>
        <v>15</v>
      </c>
      <c r="H323" s="88">
        <f t="shared" si="63"/>
        <v>0</v>
      </c>
      <c r="I323" s="67">
        <f t="shared" si="59"/>
        <v>15</v>
      </c>
      <c r="J323" s="88">
        <f>J324</f>
        <v>0</v>
      </c>
      <c r="K323" s="67">
        <f t="shared" si="55"/>
        <v>15</v>
      </c>
      <c r="L323" s="88">
        <f>L324</f>
        <v>0</v>
      </c>
      <c r="M323" s="67">
        <f t="shared" si="56"/>
        <v>15</v>
      </c>
      <c r="N323" s="88">
        <f>N324</f>
        <v>0</v>
      </c>
      <c r="O323" s="67">
        <f t="shared" si="53"/>
        <v>15</v>
      </c>
    </row>
    <row r="324" spans="1:15" s="90" customFormat="1" x14ac:dyDescent="0.2">
      <c r="A324" s="52" t="str">
        <f ca="1">IF(ISERROR(MATCH(F324,Код_КВР,0)),"",INDIRECT(ADDRESS(MATCH(F324,Код_КВР,0)+1,2,,,"КВР")))</f>
        <v>Субсидии бюджетным учреждениям</v>
      </c>
      <c r="B324" s="25">
        <v>801</v>
      </c>
      <c r="C324" s="87" t="s">
        <v>60</v>
      </c>
      <c r="D324" s="87" t="s">
        <v>78</v>
      </c>
      <c r="E324" s="25" t="s">
        <v>627</v>
      </c>
      <c r="F324" s="26">
        <v>610</v>
      </c>
      <c r="G324" s="88">
        <v>15</v>
      </c>
      <c r="H324" s="89"/>
      <c r="I324" s="67">
        <f t="shared" si="59"/>
        <v>15</v>
      </c>
      <c r="J324" s="88"/>
      <c r="K324" s="67">
        <f t="shared" si="55"/>
        <v>15</v>
      </c>
      <c r="L324" s="88"/>
      <c r="M324" s="67">
        <f t="shared" si="56"/>
        <v>15</v>
      </c>
      <c r="N324" s="88"/>
      <c r="O324" s="67">
        <f t="shared" si="53"/>
        <v>15</v>
      </c>
    </row>
    <row r="325" spans="1:15" s="107" customFormat="1" ht="49.5" x14ac:dyDescent="0.2">
      <c r="A325" s="64" t="str">
        <f ca="1">IF(ISERROR(MATCH(E325,Код_КЦСР,0)),"",INDIRECT(ADDRESS(MATCH(E325,Код_КЦСР,0)+1,2,,,"КЦСР")))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2020 годы</v>
      </c>
      <c r="B325" s="26">
        <v>801</v>
      </c>
      <c r="C325" s="65" t="s">
        <v>60</v>
      </c>
      <c r="D325" s="65" t="s">
        <v>78</v>
      </c>
      <c r="E325" s="26" t="s">
        <v>389</v>
      </c>
      <c r="F325" s="26"/>
      <c r="G325" s="66">
        <f t="shared" ref="G325:N327" si="64">G326</f>
        <v>17</v>
      </c>
      <c r="H325" s="66">
        <f t="shared" si="64"/>
        <v>0</v>
      </c>
      <c r="I325" s="67">
        <f t="shared" si="59"/>
        <v>17</v>
      </c>
      <c r="J325" s="66">
        <f t="shared" si="64"/>
        <v>0</v>
      </c>
      <c r="K325" s="67">
        <f t="shared" si="55"/>
        <v>17</v>
      </c>
      <c r="L325" s="66">
        <f t="shared" si="64"/>
        <v>0</v>
      </c>
      <c r="M325" s="67">
        <f t="shared" si="56"/>
        <v>17</v>
      </c>
      <c r="N325" s="66">
        <f t="shared" si="64"/>
        <v>0</v>
      </c>
      <c r="O325" s="67">
        <f t="shared" si="53"/>
        <v>17</v>
      </c>
    </row>
    <row r="326" spans="1:15" s="107" customFormat="1" ht="66" x14ac:dyDescent="0.2">
      <c r="A326" s="64" t="str">
        <f ca="1">IF(ISERROR(MATCH(E326,Код_КЦСР,0)),"",INDIRECT(ADDRESS(MATCH(E326,Код_КЦСР,0)+1,2,,,"КЦСР")))</f>
        <v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v>
      </c>
      <c r="B326" s="26">
        <v>801</v>
      </c>
      <c r="C326" s="65" t="s">
        <v>60</v>
      </c>
      <c r="D326" s="65" t="s">
        <v>78</v>
      </c>
      <c r="E326" s="26" t="s">
        <v>393</v>
      </c>
      <c r="F326" s="26"/>
      <c r="G326" s="66">
        <f t="shared" si="64"/>
        <v>17</v>
      </c>
      <c r="H326" s="66">
        <f t="shared" si="64"/>
        <v>0</v>
      </c>
      <c r="I326" s="67">
        <f t="shared" si="59"/>
        <v>17</v>
      </c>
      <c r="J326" s="66">
        <f t="shared" si="64"/>
        <v>0</v>
      </c>
      <c r="K326" s="67">
        <f t="shared" si="55"/>
        <v>17</v>
      </c>
      <c r="L326" s="66">
        <f t="shared" si="64"/>
        <v>0</v>
      </c>
      <c r="M326" s="67">
        <f t="shared" si="56"/>
        <v>17</v>
      </c>
      <c r="N326" s="66">
        <f t="shared" si="64"/>
        <v>0</v>
      </c>
      <c r="O326" s="67">
        <f t="shared" si="53"/>
        <v>17</v>
      </c>
    </row>
    <row r="327" spans="1:15" s="107" customFormat="1" ht="33" x14ac:dyDescent="0.2">
      <c r="A327" s="64" t="str">
        <f ca="1">IF(ISERROR(MATCH(F327,Код_КВР,0)),"",INDIRECT(ADDRESS(MATCH(F327,Код_КВР,0)+1,2,,,"КВР")))</f>
        <v>Закупка товаров, работ и услуг для обеспечения государственных (муниципальных) нужд</v>
      </c>
      <c r="B327" s="26">
        <v>801</v>
      </c>
      <c r="C327" s="65" t="s">
        <v>60</v>
      </c>
      <c r="D327" s="65" t="s">
        <v>78</v>
      </c>
      <c r="E327" s="26" t="s">
        <v>393</v>
      </c>
      <c r="F327" s="26">
        <v>200</v>
      </c>
      <c r="G327" s="66">
        <f t="shared" si="64"/>
        <v>17</v>
      </c>
      <c r="H327" s="66">
        <f t="shared" si="64"/>
        <v>0</v>
      </c>
      <c r="I327" s="67">
        <f t="shared" si="59"/>
        <v>17</v>
      </c>
      <c r="J327" s="66">
        <f t="shared" si="64"/>
        <v>0</v>
      </c>
      <c r="K327" s="67">
        <f t="shared" si="55"/>
        <v>17</v>
      </c>
      <c r="L327" s="66">
        <f t="shared" si="64"/>
        <v>0</v>
      </c>
      <c r="M327" s="67">
        <f t="shared" si="56"/>
        <v>17</v>
      </c>
      <c r="N327" s="66">
        <f t="shared" si="64"/>
        <v>0</v>
      </c>
      <c r="O327" s="67">
        <f t="shared" si="53"/>
        <v>17</v>
      </c>
    </row>
    <row r="328" spans="1:15" s="107" customFormat="1" ht="33" x14ac:dyDescent="0.2">
      <c r="A328" s="64" t="str">
        <f ca="1">IF(ISERROR(MATCH(F328,Код_КВР,0)),"",INDIRECT(ADDRESS(MATCH(F328,Код_КВР,0)+1,2,,,"КВР")))</f>
        <v>Иные закупки товаров, работ и услуг для обеспечения государственных (муниципальных) нужд</v>
      </c>
      <c r="B328" s="26">
        <v>801</v>
      </c>
      <c r="C328" s="65" t="s">
        <v>60</v>
      </c>
      <c r="D328" s="65" t="s">
        <v>78</v>
      </c>
      <c r="E328" s="26" t="s">
        <v>393</v>
      </c>
      <c r="F328" s="26">
        <v>240</v>
      </c>
      <c r="G328" s="66">
        <v>17</v>
      </c>
      <c r="H328" s="67"/>
      <c r="I328" s="67">
        <f t="shared" si="59"/>
        <v>17</v>
      </c>
      <c r="J328" s="66"/>
      <c r="K328" s="67">
        <f t="shared" si="55"/>
        <v>17</v>
      </c>
      <c r="L328" s="66"/>
      <c r="M328" s="67">
        <f t="shared" si="56"/>
        <v>17</v>
      </c>
      <c r="N328" s="66"/>
      <c r="O328" s="67">
        <f t="shared" si="53"/>
        <v>17</v>
      </c>
    </row>
    <row r="329" spans="1:15" s="107" customFormat="1" ht="33" x14ac:dyDescent="0.2">
      <c r="A329" s="64" t="str">
        <f ca="1">IF(ISERROR(MATCH(E329,Код_КЦСР,0)),"",INDIRECT(ADDRESS(MATCH(E329,Код_КЦСР,0)+1,2,,,"КЦСР")))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329" s="26">
        <v>801</v>
      </c>
      <c r="C329" s="65" t="s">
        <v>60</v>
      </c>
      <c r="D329" s="65" t="s">
        <v>78</v>
      </c>
      <c r="E329" s="26" t="s">
        <v>395</v>
      </c>
      <c r="F329" s="26"/>
      <c r="G329" s="66">
        <f t="shared" ref="G329:N332" si="65">G330</f>
        <v>1.6</v>
      </c>
      <c r="H329" s="66">
        <f t="shared" si="65"/>
        <v>0</v>
      </c>
      <c r="I329" s="67">
        <f t="shared" si="59"/>
        <v>1.6</v>
      </c>
      <c r="J329" s="66">
        <f t="shared" si="65"/>
        <v>0</v>
      </c>
      <c r="K329" s="67">
        <f t="shared" si="55"/>
        <v>1.6</v>
      </c>
      <c r="L329" s="66">
        <f t="shared" si="65"/>
        <v>0</v>
      </c>
      <c r="M329" s="67">
        <f t="shared" si="56"/>
        <v>1.6</v>
      </c>
      <c r="N329" s="66">
        <f t="shared" si="65"/>
        <v>0</v>
      </c>
      <c r="O329" s="67">
        <f t="shared" si="53"/>
        <v>1.6</v>
      </c>
    </row>
    <row r="330" spans="1:15" s="107" customFormat="1" x14ac:dyDescent="0.2">
      <c r="A330" s="64" t="str">
        <f ca="1">IF(ISERROR(MATCH(E330,Код_КЦСР,0)),"",INDIRECT(ADDRESS(MATCH(E330,Код_КЦСР,0)+1,2,,,"КЦСР")))</f>
        <v>Профилактика преступлений и иных правонарушений в городе Череповце</v>
      </c>
      <c r="B330" s="26">
        <v>801</v>
      </c>
      <c r="C330" s="65" t="s">
        <v>60</v>
      </c>
      <c r="D330" s="65" t="s">
        <v>78</v>
      </c>
      <c r="E330" s="26" t="s">
        <v>397</v>
      </c>
      <c r="F330" s="26"/>
      <c r="G330" s="66">
        <f t="shared" si="65"/>
        <v>1.6</v>
      </c>
      <c r="H330" s="66">
        <f t="shared" si="65"/>
        <v>0</v>
      </c>
      <c r="I330" s="67">
        <f t="shared" si="59"/>
        <v>1.6</v>
      </c>
      <c r="J330" s="66">
        <f t="shared" si="65"/>
        <v>0</v>
      </c>
      <c r="K330" s="67">
        <f t="shared" si="55"/>
        <v>1.6</v>
      </c>
      <c r="L330" s="66">
        <f t="shared" si="65"/>
        <v>0</v>
      </c>
      <c r="M330" s="67">
        <f t="shared" si="56"/>
        <v>1.6</v>
      </c>
      <c r="N330" s="66">
        <f t="shared" si="65"/>
        <v>0</v>
      </c>
      <c r="O330" s="67">
        <f t="shared" si="53"/>
        <v>1.6</v>
      </c>
    </row>
    <row r="331" spans="1:15" s="107" customFormat="1" x14ac:dyDescent="0.2">
      <c r="A331" s="64" t="str">
        <f ca="1">IF(ISERROR(MATCH(E331,Код_КЦСР,0)),"",INDIRECT(ADDRESS(MATCH(E331,Код_КЦСР,0)+1,2,,,"КЦСР")))</f>
        <v>Привлечение общественности к охране общественного порядка</v>
      </c>
      <c r="B331" s="26">
        <v>801</v>
      </c>
      <c r="C331" s="65" t="s">
        <v>60</v>
      </c>
      <c r="D331" s="65" t="s">
        <v>78</v>
      </c>
      <c r="E331" s="26" t="s">
        <v>398</v>
      </c>
      <c r="F331" s="26"/>
      <c r="G331" s="66">
        <f t="shared" si="65"/>
        <v>1.6</v>
      </c>
      <c r="H331" s="66">
        <f t="shared" si="65"/>
        <v>0</v>
      </c>
      <c r="I331" s="67">
        <f t="shared" si="59"/>
        <v>1.6</v>
      </c>
      <c r="J331" s="66">
        <f t="shared" si="65"/>
        <v>0</v>
      </c>
      <c r="K331" s="67">
        <f t="shared" si="55"/>
        <v>1.6</v>
      </c>
      <c r="L331" s="66">
        <f t="shared" si="65"/>
        <v>0</v>
      </c>
      <c r="M331" s="67">
        <f t="shared" si="56"/>
        <v>1.6</v>
      </c>
      <c r="N331" s="66">
        <f t="shared" si="65"/>
        <v>0</v>
      </c>
      <c r="O331" s="67">
        <f t="shared" si="53"/>
        <v>1.6</v>
      </c>
    </row>
    <row r="332" spans="1:15" s="107" customFormat="1" ht="33" x14ac:dyDescent="0.2">
      <c r="A332" s="73" t="str">
        <f ca="1">IF(ISERROR(MATCH(F332,Код_КВР,0)),"",INDIRECT(ADDRESS(MATCH(F332,Код_КВР,0)+1,2,,,"КВР")))</f>
        <v>Закупка товаров, работ и услуг для обеспечения государственных (муниципальных) нужд</v>
      </c>
      <c r="B332" s="26">
        <v>801</v>
      </c>
      <c r="C332" s="65" t="s">
        <v>60</v>
      </c>
      <c r="D332" s="65" t="s">
        <v>78</v>
      </c>
      <c r="E332" s="26" t="s">
        <v>398</v>
      </c>
      <c r="F332" s="26">
        <v>200</v>
      </c>
      <c r="G332" s="66">
        <f t="shared" si="65"/>
        <v>1.6</v>
      </c>
      <c r="H332" s="66">
        <f t="shared" si="65"/>
        <v>0</v>
      </c>
      <c r="I332" s="67">
        <f t="shared" si="59"/>
        <v>1.6</v>
      </c>
      <c r="J332" s="66">
        <f t="shared" si="65"/>
        <v>0</v>
      </c>
      <c r="K332" s="67">
        <f t="shared" si="55"/>
        <v>1.6</v>
      </c>
      <c r="L332" s="66">
        <f t="shared" si="65"/>
        <v>0</v>
      </c>
      <c r="M332" s="67">
        <f t="shared" si="56"/>
        <v>1.6</v>
      </c>
      <c r="N332" s="66">
        <f t="shared" si="65"/>
        <v>0</v>
      </c>
      <c r="O332" s="67">
        <f t="shared" si="53"/>
        <v>1.6</v>
      </c>
    </row>
    <row r="333" spans="1:15" s="107" customFormat="1" ht="33" x14ac:dyDescent="0.2">
      <c r="A333" s="64" t="str">
        <f ca="1">IF(ISERROR(MATCH(F333,Код_КВР,0)),"",INDIRECT(ADDRESS(MATCH(F333,Код_КВР,0)+1,2,,,"КВР")))</f>
        <v>Иные закупки товаров, работ и услуг для обеспечения государственных (муниципальных) нужд</v>
      </c>
      <c r="B333" s="26">
        <v>801</v>
      </c>
      <c r="C333" s="65" t="s">
        <v>60</v>
      </c>
      <c r="D333" s="65" t="s">
        <v>78</v>
      </c>
      <c r="E333" s="26" t="s">
        <v>398</v>
      </c>
      <c r="F333" s="26">
        <v>240</v>
      </c>
      <c r="G333" s="66">
        <v>1.6</v>
      </c>
      <c r="H333" s="67"/>
      <c r="I333" s="67">
        <f t="shared" si="59"/>
        <v>1.6</v>
      </c>
      <c r="J333" s="66"/>
      <c r="K333" s="67">
        <f t="shared" si="55"/>
        <v>1.6</v>
      </c>
      <c r="L333" s="66"/>
      <c r="M333" s="67">
        <f t="shared" si="56"/>
        <v>1.6</v>
      </c>
      <c r="N333" s="66"/>
      <c r="O333" s="67">
        <f t="shared" si="53"/>
        <v>1.6</v>
      </c>
    </row>
    <row r="334" spans="1:15" s="107" customFormat="1" x14ac:dyDescent="0.2">
      <c r="A334" s="74" t="s">
        <v>464</v>
      </c>
      <c r="B334" s="26">
        <v>801</v>
      </c>
      <c r="C334" s="65" t="s">
        <v>60</v>
      </c>
      <c r="D334" s="65" t="s">
        <v>60</v>
      </c>
      <c r="E334" s="26"/>
      <c r="F334" s="26"/>
      <c r="G334" s="66">
        <f>G335+G346</f>
        <v>7639.1</v>
      </c>
      <c r="H334" s="66">
        <f>H335+H346</f>
        <v>0</v>
      </c>
      <c r="I334" s="67">
        <f t="shared" si="59"/>
        <v>7639.1</v>
      </c>
      <c r="J334" s="66">
        <f>J335+J346</f>
        <v>0</v>
      </c>
      <c r="K334" s="67">
        <f t="shared" si="55"/>
        <v>7639.1</v>
      </c>
      <c r="L334" s="66">
        <f>L335+L346</f>
        <v>0</v>
      </c>
      <c r="M334" s="67">
        <f t="shared" si="56"/>
        <v>7639.1</v>
      </c>
      <c r="N334" s="66">
        <f>N335+N346</f>
        <v>0</v>
      </c>
      <c r="O334" s="67">
        <f t="shared" si="53"/>
        <v>7639.1</v>
      </c>
    </row>
    <row r="335" spans="1:15" s="107" customFormat="1" ht="33" x14ac:dyDescent="0.2">
      <c r="A335" s="64" t="str">
        <f ca="1">IF(ISERROR(MATCH(E335,Код_КЦСР,0)),"",INDIRECT(ADDRESS(MATCH(E335,Код_КЦСР,0)+1,2,,,"КЦСР")))</f>
        <v>Муниципальная программа «Развитие молодежной политики» на 2013 – 2020 годы</v>
      </c>
      <c r="B335" s="26">
        <v>801</v>
      </c>
      <c r="C335" s="65" t="s">
        <v>60</v>
      </c>
      <c r="D335" s="65" t="s">
        <v>60</v>
      </c>
      <c r="E335" s="26" t="s">
        <v>299</v>
      </c>
      <c r="F335" s="26"/>
      <c r="G335" s="66">
        <f>G336+G339</f>
        <v>7565.5</v>
      </c>
      <c r="H335" s="66">
        <f>H336+H339</f>
        <v>0</v>
      </c>
      <c r="I335" s="67">
        <f t="shared" si="59"/>
        <v>7565.5</v>
      </c>
      <c r="J335" s="66">
        <f>J336+J339</f>
        <v>0</v>
      </c>
      <c r="K335" s="67">
        <f t="shared" si="55"/>
        <v>7565.5</v>
      </c>
      <c r="L335" s="66">
        <f>L336+L339</f>
        <v>0</v>
      </c>
      <c r="M335" s="67">
        <f t="shared" si="56"/>
        <v>7565.5</v>
      </c>
      <c r="N335" s="66">
        <f>N336+N339</f>
        <v>0</v>
      </c>
      <c r="O335" s="67">
        <f t="shared" si="53"/>
        <v>7565.5</v>
      </c>
    </row>
    <row r="336" spans="1:15" s="107" customFormat="1" ht="33" x14ac:dyDescent="0.2">
      <c r="A336" s="64" t="str">
        <f ca="1">IF(ISERROR(MATCH(E336,Код_КЦСР,0)),"",INDIRECT(ADDRESS(MATCH(E336,Код_КЦСР,0)+1,2,,,"КЦСР")))</f>
        <v>Организация и проведение мероприятий с детьми и молодежью, за счет средств городского бюджета</v>
      </c>
      <c r="B336" s="26">
        <v>801</v>
      </c>
      <c r="C336" s="65" t="s">
        <v>60</v>
      </c>
      <c r="D336" s="65" t="s">
        <v>60</v>
      </c>
      <c r="E336" s="26" t="s">
        <v>301</v>
      </c>
      <c r="F336" s="26"/>
      <c r="G336" s="66">
        <f t="shared" ref="G336:N337" si="66">G337</f>
        <v>844.8</v>
      </c>
      <c r="H336" s="66">
        <f t="shared" si="66"/>
        <v>0</v>
      </c>
      <c r="I336" s="67">
        <f t="shared" si="59"/>
        <v>844.8</v>
      </c>
      <c r="J336" s="66">
        <f t="shared" si="66"/>
        <v>0</v>
      </c>
      <c r="K336" s="67">
        <f t="shared" si="55"/>
        <v>844.8</v>
      </c>
      <c r="L336" s="66">
        <f t="shared" si="66"/>
        <v>0</v>
      </c>
      <c r="M336" s="67">
        <f t="shared" si="56"/>
        <v>844.8</v>
      </c>
      <c r="N336" s="66">
        <f t="shared" si="66"/>
        <v>0</v>
      </c>
      <c r="O336" s="67">
        <f t="shared" si="53"/>
        <v>844.8</v>
      </c>
    </row>
    <row r="337" spans="1:15" s="107" customFormat="1" ht="33" x14ac:dyDescent="0.2">
      <c r="A337" s="64" t="str">
        <f ca="1">IF(ISERROR(MATCH(F337,Код_КВР,0)),"",INDIRECT(ADDRESS(MATCH(F337,Код_КВР,0)+1,2,,,"КВР")))</f>
        <v>Закупка товаров, работ и услуг для обеспечения государственных (муниципальных) нужд</v>
      </c>
      <c r="B337" s="26">
        <v>801</v>
      </c>
      <c r="C337" s="65" t="s">
        <v>60</v>
      </c>
      <c r="D337" s="65" t="s">
        <v>60</v>
      </c>
      <c r="E337" s="26" t="s">
        <v>301</v>
      </c>
      <c r="F337" s="26">
        <v>200</v>
      </c>
      <c r="G337" s="66">
        <f t="shared" si="66"/>
        <v>844.8</v>
      </c>
      <c r="H337" s="66">
        <f t="shared" si="66"/>
        <v>0</v>
      </c>
      <c r="I337" s="67">
        <f t="shared" si="59"/>
        <v>844.8</v>
      </c>
      <c r="J337" s="66">
        <f t="shared" si="66"/>
        <v>0</v>
      </c>
      <c r="K337" s="67">
        <f t="shared" si="55"/>
        <v>844.8</v>
      </c>
      <c r="L337" s="66">
        <f t="shared" si="66"/>
        <v>0</v>
      </c>
      <c r="M337" s="67">
        <f t="shared" si="56"/>
        <v>844.8</v>
      </c>
      <c r="N337" s="66">
        <f t="shared" si="66"/>
        <v>0</v>
      </c>
      <c r="O337" s="67">
        <f t="shared" si="53"/>
        <v>844.8</v>
      </c>
    </row>
    <row r="338" spans="1:15" s="107" customFormat="1" ht="33" x14ac:dyDescent="0.2">
      <c r="A338" s="64" t="str">
        <f ca="1">IF(ISERROR(MATCH(F338,Код_КВР,0)),"",INDIRECT(ADDRESS(MATCH(F338,Код_КВР,0)+1,2,,,"КВР")))</f>
        <v>Иные закупки товаров, работ и услуг для обеспечения государственных (муниципальных) нужд</v>
      </c>
      <c r="B338" s="26">
        <v>801</v>
      </c>
      <c r="C338" s="65" t="s">
        <v>60</v>
      </c>
      <c r="D338" s="65" t="s">
        <v>60</v>
      </c>
      <c r="E338" s="26" t="s">
        <v>301</v>
      </c>
      <c r="F338" s="26">
        <v>240</v>
      </c>
      <c r="G338" s="66">
        <v>844.8</v>
      </c>
      <c r="H338" s="67"/>
      <c r="I338" s="67">
        <f t="shared" si="59"/>
        <v>844.8</v>
      </c>
      <c r="J338" s="66"/>
      <c r="K338" s="67">
        <f t="shared" si="55"/>
        <v>844.8</v>
      </c>
      <c r="L338" s="66"/>
      <c r="M338" s="67">
        <f t="shared" si="56"/>
        <v>844.8</v>
      </c>
      <c r="N338" s="66"/>
      <c r="O338" s="67">
        <f t="shared" si="53"/>
        <v>844.8</v>
      </c>
    </row>
    <row r="339" spans="1:15" s="107" customFormat="1" ht="66" x14ac:dyDescent="0.2">
      <c r="A339" s="64" t="str">
        <f ca="1">IF(ISERROR(MATCH(E339,Код_КЦСР,0)),"",INDIRECT(ADDRESS(MATCH(E339,Код_КЦСР,0)+1,2,,,"КЦСР")))</f>
        <v>Организация и проведение мероприятий с детьми и молодежью, организация поддержки детских и молодежных общественных объединений, в рамках текущей деятельности муниципального казенного учреждения «Череповецкий молодежный центр»</v>
      </c>
      <c r="B339" s="26">
        <v>801</v>
      </c>
      <c r="C339" s="65" t="s">
        <v>60</v>
      </c>
      <c r="D339" s="65" t="s">
        <v>60</v>
      </c>
      <c r="E339" s="26" t="s">
        <v>302</v>
      </c>
      <c r="F339" s="26"/>
      <c r="G339" s="66">
        <f>G340+G342+G344</f>
        <v>6720.7</v>
      </c>
      <c r="H339" s="66">
        <f>H340+H342+H344</f>
        <v>0</v>
      </c>
      <c r="I339" s="67">
        <f t="shared" si="59"/>
        <v>6720.7</v>
      </c>
      <c r="J339" s="66">
        <f>J340+J342+J344</f>
        <v>0</v>
      </c>
      <c r="K339" s="67">
        <f t="shared" si="55"/>
        <v>6720.7</v>
      </c>
      <c r="L339" s="66">
        <f>L340+L342+L344</f>
        <v>0</v>
      </c>
      <c r="M339" s="67">
        <f t="shared" si="56"/>
        <v>6720.7</v>
      </c>
      <c r="N339" s="66">
        <f>N340+N342+N344</f>
        <v>0</v>
      </c>
      <c r="O339" s="67">
        <f t="shared" ref="O339:O402" si="67">M339+N339</f>
        <v>6720.7</v>
      </c>
    </row>
    <row r="340" spans="1:15" s="107" customFormat="1" ht="49.5" x14ac:dyDescent="0.2">
      <c r="A340" s="64" t="str">
        <f t="shared" ref="A340:A345" ca="1" si="68">IF(ISERROR(MATCH(F340,Код_КВР,0)),"",INDIRECT(ADDRESS(MATCH(F340,Код_КВР,0)+1,2,,,"КВР")))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40" s="26">
        <v>801</v>
      </c>
      <c r="C340" s="65" t="s">
        <v>60</v>
      </c>
      <c r="D340" s="65" t="s">
        <v>60</v>
      </c>
      <c r="E340" s="26" t="s">
        <v>302</v>
      </c>
      <c r="F340" s="26">
        <v>100</v>
      </c>
      <c r="G340" s="66">
        <f>G341</f>
        <v>5289.1</v>
      </c>
      <c r="H340" s="66">
        <f>H341</f>
        <v>0</v>
      </c>
      <c r="I340" s="67">
        <f t="shared" si="59"/>
        <v>5289.1</v>
      </c>
      <c r="J340" s="66">
        <f>J341</f>
        <v>0</v>
      </c>
      <c r="K340" s="67">
        <f t="shared" si="55"/>
        <v>5289.1</v>
      </c>
      <c r="L340" s="66">
        <f>L341</f>
        <v>0</v>
      </c>
      <c r="M340" s="67">
        <f t="shared" si="56"/>
        <v>5289.1</v>
      </c>
      <c r="N340" s="66">
        <f>N341</f>
        <v>0</v>
      </c>
      <c r="O340" s="67">
        <f t="shared" si="67"/>
        <v>5289.1</v>
      </c>
    </row>
    <row r="341" spans="1:15" s="107" customFormat="1" x14ac:dyDescent="0.2">
      <c r="A341" s="64" t="str">
        <f t="shared" ca="1" si="68"/>
        <v>Расходы на выплаты персоналу казенных учреждений</v>
      </c>
      <c r="B341" s="26">
        <v>801</v>
      </c>
      <c r="C341" s="65" t="s">
        <v>60</v>
      </c>
      <c r="D341" s="65" t="s">
        <v>60</v>
      </c>
      <c r="E341" s="26" t="s">
        <v>302</v>
      </c>
      <c r="F341" s="26">
        <v>110</v>
      </c>
      <c r="G341" s="66">
        <f>4040.5+28.3+1220.3</f>
        <v>5289.1</v>
      </c>
      <c r="H341" s="66"/>
      <c r="I341" s="67">
        <f t="shared" si="59"/>
        <v>5289.1</v>
      </c>
      <c r="J341" s="66"/>
      <c r="K341" s="67">
        <f t="shared" si="55"/>
        <v>5289.1</v>
      </c>
      <c r="L341" s="66"/>
      <c r="M341" s="67">
        <f t="shared" si="56"/>
        <v>5289.1</v>
      </c>
      <c r="N341" s="66"/>
      <c r="O341" s="67">
        <f t="shared" si="67"/>
        <v>5289.1</v>
      </c>
    </row>
    <row r="342" spans="1:15" s="107" customFormat="1" ht="33" x14ac:dyDescent="0.2">
      <c r="A342" s="64" t="str">
        <f t="shared" ca="1" si="68"/>
        <v>Закупка товаров, работ и услуг для обеспечения государственных (муниципальных) нужд</v>
      </c>
      <c r="B342" s="26">
        <v>801</v>
      </c>
      <c r="C342" s="65" t="s">
        <v>60</v>
      </c>
      <c r="D342" s="65" t="s">
        <v>60</v>
      </c>
      <c r="E342" s="26" t="s">
        <v>302</v>
      </c>
      <c r="F342" s="26">
        <v>200</v>
      </c>
      <c r="G342" s="66">
        <f>G343</f>
        <v>1021.2</v>
      </c>
      <c r="H342" s="66">
        <f>H343</f>
        <v>0</v>
      </c>
      <c r="I342" s="67">
        <f t="shared" si="59"/>
        <v>1021.2</v>
      </c>
      <c r="J342" s="66">
        <f>J343</f>
        <v>0</v>
      </c>
      <c r="K342" s="67">
        <f t="shared" si="55"/>
        <v>1021.2</v>
      </c>
      <c r="L342" s="66">
        <f>L343</f>
        <v>0</v>
      </c>
      <c r="M342" s="67">
        <f t="shared" si="56"/>
        <v>1021.2</v>
      </c>
      <c r="N342" s="66">
        <f>N343</f>
        <v>0</v>
      </c>
      <c r="O342" s="67">
        <f t="shared" si="67"/>
        <v>1021.2</v>
      </c>
    </row>
    <row r="343" spans="1:15" s="107" customFormat="1" ht="33" x14ac:dyDescent="0.2">
      <c r="A343" s="64" t="str">
        <f t="shared" ca="1" si="68"/>
        <v>Иные закупки товаров, работ и услуг для обеспечения государственных (муниципальных) нужд</v>
      </c>
      <c r="B343" s="26">
        <v>801</v>
      </c>
      <c r="C343" s="65" t="s">
        <v>60</v>
      </c>
      <c r="D343" s="65" t="s">
        <v>60</v>
      </c>
      <c r="E343" s="26" t="s">
        <v>302</v>
      </c>
      <c r="F343" s="26">
        <v>240</v>
      </c>
      <c r="G343" s="66">
        <v>1021.2</v>
      </c>
      <c r="H343" s="66"/>
      <c r="I343" s="67">
        <f t="shared" si="59"/>
        <v>1021.2</v>
      </c>
      <c r="J343" s="66"/>
      <c r="K343" s="67">
        <f t="shared" si="55"/>
        <v>1021.2</v>
      </c>
      <c r="L343" s="66"/>
      <c r="M343" s="67">
        <f t="shared" si="56"/>
        <v>1021.2</v>
      </c>
      <c r="N343" s="66"/>
      <c r="O343" s="67">
        <f t="shared" si="67"/>
        <v>1021.2</v>
      </c>
    </row>
    <row r="344" spans="1:15" s="107" customFormat="1" x14ac:dyDescent="0.2">
      <c r="A344" s="64" t="str">
        <f t="shared" ca="1" si="68"/>
        <v>Иные бюджетные ассигнования</v>
      </c>
      <c r="B344" s="26">
        <v>801</v>
      </c>
      <c r="C344" s="65" t="s">
        <v>60</v>
      </c>
      <c r="D344" s="65" t="s">
        <v>60</v>
      </c>
      <c r="E344" s="26" t="s">
        <v>302</v>
      </c>
      <c r="F344" s="26">
        <v>800</v>
      </c>
      <c r="G344" s="66">
        <f>G345</f>
        <v>410.4</v>
      </c>
      <c r="H344" s="66">
        <f>H345</f>
        <v>0</v>
      </c>
      <c r="I344" s="67">
        <f t="shared" si="59"/>
        <v>410.4</v>
      </c>
      <c r="J344" s="66">
        <f>J345</f>
        <v>0</v>
      </c>
      <c r="K344" s="67">
        <f t="shared" si="55"/>
        <v>410.4</v>
      </c>
      <c r="L344" s="66">
        <f>L345</f>
        <v>0</v>
      </c>
      <c r="M344" s="67">
        <f t="shared" si="56"/>
        <v>410.4</v>
      </c>
      <c r="N344" s="66">
        <f>N345</f>
        <v>0</v>
      </c>
      <c r="O344" s="67">
        <f t="shared" si="67"/>
        <v>410.4</v>
      </c>
    </row>
    <row r="345" spans="1:15" s="107" customFormat="1" x14ac:dyDescent="0.2">
      <c r="A345" s="64" t="str">
        <f t="shared" ca="1" si="68"/>
        <v>Уплата налогов, сборов и иных платежей</v>
      </c>
      <c r="B345" s="26">
        <v>801</v>
      </c>
      <c r="C345" s="65" t="s">
        <v>60</v>
      </c>
      <c r="D345" s="65" t="s">
        <v>60</v>
      </c>
      <c r="E345" s="26" t="s">
        <v>302</v>
      </c>
      <c r="F345" s="26">
        <v>850</v>
      </c>
      <c r="G345" s="66">
        <v>410.4</v>
      </c>
      <c r="H345" s="66"/>
      <c r="I345" s="67">
        <f t="shared" si="59"/>
        <v>410.4</v>
      </c>
      <c r="J345" s="66"/>
      <c r="K345" s="67">
        <f t="shared" si="55"/>
        <v>410.4</v>
      </c>
      <c r="L345" s="66"/>
      <c r="M345" s="67">
        <f t="shared" si="56"/>
        <v>410.4</v>
      </c>
      <c r="N345" s="66"/>
      <c r="O345" s="67">
        <f t="shared" si="67"/>
        <v>410.4</v>
      </c>
    </row>
    <row r="346" spans="1:15" s="108" customFormat="1" ht="33" x14ac:dyDescent="0.2">
      <c r="A346" s="64" t="str">
        <f ca="1">IF(ISERROR(MATCH(E346,Код_КЦСР,0)),"",INDIRECT(ADDRESS(MATCH(E346,Код_КЦСР,0)+1,2,,,"КЦСР")))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346" s="26">
        <v>801</v>
      </c>
      <c r="C346" s="65" t="s">
        <v>60</v>
      </c>
      <c r="D346" s="65" t="s">
        <v>60</v>
      </c>
      <c r="E346" s="26" t="s">
        <v>369</v>
      </c>
      <c r="F346" s="26"/>
      <c r="G346" s="66">
        <f>G347</f>
        <v>73.599999999999994</v>
      </c>
      <c r="H346" s="66">
        <f>H347</f>
        <v>0</v>
      </c>
      <c r="I346" s="67">
        <f t="shared" si="59"/>
        <v>73.599999999999994</v>
      </c>
      <c r="J346" s="66">
        <f>J347</f>
        <v>0</v>
      </c>
      <c r="K346" s="67">
        <f t="shared" si="55"/>
        <v>73.599999999999994</v>
      </c>
      <c r="L346" s="66">
        <f>L347</f>
        <v>0</v>
      </c>
      <c r="M346" s="67">
        <f t="shared" si="56"/>
        <v>73.599999999999994</v>
      </c>
      <c r="N346" s="66">
        <f>N347</f>
        <v>0</v>
      </c>
      <c r="O346" s="67">
        <f t="shared" si="67"/>
        <v>73.599999999999994</v>
      </c>
    </row>
    <row r="347" spans="1:15" s="107" customFormat="1" x14ac:dyDescent="0.2">
      <c r="A347" s="64" t="str">
        <f ca="1">IF(ISERROR(MATCH(E347,Код_КЦСР,0)),"",INDIRECT(ADDRESS(MATCH(E347,Код_КЦСР,0)+1,2,,,"КЦСР")))</f>
        <v>Обеспечение пожарной безопасности муниципальных учреждений города</v>
      </c>
      <c r="B347" s="26">
        <v>801</v>
      </c>
      <c r="C347" s="65" t="s">
        <v>60</v>
      </c>
      <c r="D347" s="65" t="s">
        <v>60</v>
      </c>
      <c r="E347" s="26" t="s">
        <v>370</v>
      </c>
      <c r="F347" s="26"/>
      <c r="G347" s="66">
        <f>G348+G351+G354</f>
        <v>73.599999999999994</v>
      </c>
      <c r="H347" s="66">
        <f>H348+H351+H354</f>
        <v>0</v>
      </c>
      <c r="I347" s="67">
        <f t="shared" si="59"/>
        <v>73.599999999999994</v>
      </c>
      <c r="J347" s="66">
        <f>J348+J351+J354</f>
        <v>0</v>
      </c>
      <c r="K347" s="67">
        <f t="shared" si="55"/>
        <v>73.599999999999994</v>
      </c>
      <c r="L347" s="66">
        <f>L348+L351+L354</f>
        <v>0</v>
      </c>
      <c r="M347" s="67">
        <f t="shared" si="56"/>
        <v>73.599999999999994</v>
      </c>
      <c r="N347" s="66">
        <f>N348+N351+N354</f>
        <v>0</v>
      </c>
      <c r="O347" s="67">
        <f t="shared" si="67"/>
        <v>73.599999999999994</v>
      </c>
    </row>
    <row r="348" spans="1:15" s="107" customFormat="1" ht="33" x14ac:dyDescent="0.2">
      <c r="A348" s="64" t="str">
        <f ca="1">IF(ISERROR(MATCH(E348,Код_КЦСР,0)),"",INDIRECT(ADDRESS(MATCH(E348,Код_КЦСР,0)+1,2,,,"КЦСР")))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348" s="26">
        <v>801</v>
      </c>
      <c r="C348" s="65" t="s">
        <v>60</v>
      </c>
      <c r="D348" s="65" t="s">
        <v>60</v>
      </c>
      <c r="E348" s="26" t="s">
        <v>371</v>
      </c>
      <c r="F348" s="26"/>
      <c r="G348" s="66">
        <f>G349</f>
        <v>36</v>
      </c>
      <c r="H348" s="66">
        <f>H349</f>
        <v>0</v>
      </c>
      <c r="I348" s="67">
        <f t="shared" si="59"/>
        <v>36</v>
      </c>
      <c r="J348" s="66">
        <f>J349</f>
        <v>0</v>
      </c>
      <c r="K348" s="67">
        <f t="shared" si="55"/>
        <v>36</v>
      </c>
      <c r="L348" s="66">
        <f>L349</f>
        <v>0</v>
      </c>
      <c r="M348" s="67">
        <f t="shared" si="56"/>
        <v>36</v>
      </c>
      <c r="N348" s="66">
        <f>N349</f>
        <v>0</v>
      </c>
      <c r="O348" s="67">
        <f t="shared" si="67"/>
        <v>36</v>
      </c>
    </row>
    <row r="349" spans="1:15" s="107" customFormat="1" ht="33" x14ac:dyDescent="0.2">
      <c r="A349" s="64" t="str">
        <f ca="1">IF(ISERROR(MATCH(F349,Код_КВР,0)),"",INDIRECT(ADDRESS(MATCH(F349,Код_КВР,0)+1,2,,,"КВР")))</f>
        <v>Закупка товаров, работ и услуг для обеспечения государственных (муниципальных) нужд</v>
      </c>
      <c r="B349" s="26">
        <v>801</v>
      </c>
      <c r="C349" s="65" t="s">
        <v>60</v>
      </c>
      <c r="D349" s="65" t="s">
        <v>60</v>
      </c>
      <c r="E349" s="26" t="s">
        <v>371</v>
      </c>
      <c r="F349" s="26">
        <v>200</v>
      </c>
      <c r="G349" s="66">
        <f>G350</f>
        <v>36</v>
      </c>
      <c r="H349" s="66">
        <f>H350</f>
        <v>0</v>
      </c>
      <c r="I349" s="67">
        <f t="shared" si="59"/>
        <v>36</v>
      </c>
      <c r="J349" s="66">
        <f>J350</f>
        <v>0</v>
      </c>
      <c r="K349" s="67">
        <f t="shared" si="55"/>
        <v>36</v>
      </c>
      <c r="L349" s="66">
        <f>L350</f>
        <v>0</v>
      </c>
      <c r="M349" s="67">
        <f t="shared" si="56"/>
        <v>36</v>
      </c>
      <c r="N349" s="66">
        <f>N350</f>
        <v>0</v>
      </c>
      <c r="O349" s="67">
        <f t="shared" si="67"/>
        <v>36</v>
      </c>
    </row>
    <row r="350" spans="1:15" s="107" customFormat="1" ht="33" x14ac:dyDescent="0.2">
      <c r="A350" s="64" t="str">
        <f ca="1">IF(ISERROR(MATCH(F350,Код_КВР,0)),"",INDIRECT(ADDRESS(MATCH(F350,Код_КВР,0)+1,2,,,"КВР")))</f>
        <v>Иные закупки товаров, работ и услуг для обеспечения государственных (муниципальных) нужд</v>
      </c>
      <c r="B350" s="26">
        <v>801</v>
      </c>
      <c r="C350" s="65" t="s">
        <v>60</v>
      </c>
      <c r="D350" s="65" t="s">
        <v>60</v>
      </c>
      <c r="E350" s="26" t="s">
        <v>371</v>
      </c>
      <c r="F350" s="26">
        <v>240</v>
      </c>
      <c r="G350" s="66">
        <v>36</v>
      </c>
      <c r="H350" s="66"/>
      <c r="I350" s="67">
        <f t="shared" si="59"/>
        <v>36</v>
      </c>
      <c r="J350" s="66"/>
      <c r="K350" s="67">
        <f t="shared" ref="K350:K421" si="69">I350+J350</f>
        <v>36</v>
      </c>
      <c r="L350" s="66"/>
      <c r="M350" s="67">
        <f t="shared" ref="M350:M421" si="70">K350+L350</f>
        <v>36</v>
      </c>
      <c r="N350" s="66"/>
      <c r="O350" s="67">
        <f t="shared" si="67"/>
        <v>36</v>
      </c>
    </row>
    <row r="351" spans="1:15" s="107" customFormat="1" ht="33" x14ac:dyDescent="0.2">
      <c r="A351" s="64" t="str">
        <f ca="1">IF(ISERROR(MATCH(E351,Код_КЦСР,0)),"",INDIRECT(ADDRESS(MATCH(E351,Код_КЦСР,0)+1,2,,,"КЦСР")))</f>
        <v>Приобретение первичных средств пожаротушения, перезарядка огнетушителей</v>
      </c>
      <c r="B351" s="26">
        <v>801</v>
      </c>
      <c r="C351" s="65" t="s">
        <v>60</v>
      </c>
      <c r="D351" s="65" t="s">
        <v>60</v>
      </c>
      <c r="E351" s="26" t="s">
        <v>570</v>
      </c>
      <c r="F351" s="26"/>
      <c r="G351" s="66">
        <f>G352</f>
        <v>5.6</v>
      </c>
      <c r="H351" s="66">
        <f>H352</f>
        <v>0</v>
      </c>
      <c r="I351" s="67">
        <f t="shared" si="59"/>
        <v>5.6</v>
      </c>
      <c r="J351" s="66">
        <f>J352</f>
        <v>0</v>
      </c>
      <c r="K351" s="67">
        <f t="shared" si="69"/>
        <v>5.6</v>
      </c>
      <c r="L351" s="66">
        <f>L352</f>
        <v>0</v>
      </c>
      <c r="M351" s="67">
        <f t="shared" si="70"/>
        <v>5.6</v>
      </c>
      <c r="N351" s="66">
        <f>N352</f>
        <v>0</v>
      </c>
      <c r="O351" s="67">
        <f t="shared" si="67"/>
        <v>5.6</v>
      </c>
    </row>
    <row r="352" spans="1:15" s="107" customFormat="1" ht="33" x14ac:dyDescent="0.2">
      <c r="A352" s="64" t="str">
        <f ca="1">IF(ISERROR(MATCH(F352,Код_КВР,0)),"",INDIRECT(ADDRESS(MATCH(F352,Код_КВР,0)+1,2,,,"КВР")))</f>
        <v>Закупка товаров, работ и услуг для обеспечения государственных (муниципальных) нужд</v>
      </c>
      <c r="B352" s="26">
        <v>801</v>
      </c>
      <c r="C352" s="65" t="s">
        <v>60</v>
      </c>
      <c r="D352" s="65" t="s">
        <v>60</v>
      </c>
      <c r="E352" s="26" t="s">
        <v>570</v>
      </c>
      <c r="F352" s="26">
        <v>200</v>
      </c>
      <c r="G352" s="66">
        <f>G353</f>
        <v>5.6</v>
      </c>
      <c r="H352" s="66">
        <f>H353</f>
        <v>0</v>
      </c>
      <c r="I352" s="67">
        <f t="shared" si="59"/>
        <v>5.6</v>
      </c>
      <c r="J352" s="66">
        <f>J353</f>
        <v>0</v>
      </c>
      <c r="K352" s="67">
        <f t="shared" si="69"/>
        <v>5.6</v>
      </c>
      <c r="L352" s="66">
        <f>L353</f>
        <v>0</v>
      </c>
      <c r="M352" s="67">
        <f t="shared" si="70"/>
        <v>5.6</v>
      </c>
      <c r="N352" s="66">
        <f>N353</f>
        <v>0</v>
      </c>
      <c r="O352" s="67">
        <f t="shared" si="67"/>
        <v>5.6</v>
      </c>
    </row>
    <row r="353" spans="1:15" s="107" customFormat="1" ht="33" x14ac:dyDescent="0.2">
      <c r="A353" s="64" t="str">
        <f ca="1">IF(ISERROR(MATCH(F353,Код_КВР,0)),"",INDIRECT(ADDRESS(MATCH(F353,Код_КВР,0)+1,2,,,"КВР")))</f>
        <v>Иные закупки товаров, работ и услуг для обеспечения государственных (муниципальных) нужд</v>
      </c>
      <c r="B353" s="26">
        <v>801</v>
      </c>
      <c r="C353" s="65" t="s">
        <v>60</v>
      </c>
      <c r="D353" s="65" t="s">
        <v>60</v>
      </c>
      <c r="E353" s="26" t="s">
        <v>570</v>
      </c>
      <c r="F353" s="26">
        <v>240</v>
      </c>
      <c r="G353" s="66">
        <v>5.6</v>
      </c>
      <c r="H353" s="66"/>
      <c r="I353" s="67">
        <f t="shared" si="59"/>
        <v>5.6</v>
      </c>
      <c r="J353" s="66"/>
      <c r="K353" s="67">
        <f t="shared" si="69"/>
        <v>5.6</v>
      </c>
      <c r="L353" s="66"/>
      <c r="M353" s="67">
        <f t="shared" si="70"/>
        <v>5.6</v>
      </c>
      <c r="N353" s="66"/>
      <c r="O353" s="67">
        <f t="shared" si="67"/>
        <v>5.6</v>
      </c>
    </row>
    <row r="354" spans="1:15" s="107" customFormat="1" x14ac:dyDescent="0.2">
      <c r="A354" s="64" t="str">
        <f ca="1">IF(ISERROR(MATCH(E354,Код_КЦСР,0)),"",INDIRECT(ADDRESS(MATCH(E354,Код_КЦСР,0)+1,2,,,"КЦСР")))</f>
        <v>Ремонт и обслуживание электрооборудования зданий</v>
      </c>
      <c r="B354" s="26">
        <v>801</v>
      </c>
      <c r="C354" s="65" t="s">
        <v>60</v>
      </c>
      <c r="D354" s="65" t="s">
        <v>60</v>
      </c>
      <c r="E354" s="26" t="s">
        <v>374</v>
      </c>
      <c r="F354" s="26"/>
      <c r="G354" s="66">
        <f>G355</f>
        <v>32</v>
      </c>
      <c r="H354" s="66">
        <f>H355</f>
        <v>0</v>
      </c>
      <c r="I354" s="67">
        <f t="shared" si="59"/>
        <v>32</v>
      </c>
      <c r="J354" s="66">
        <f>J355</f>
        <v>0</v>
      </c>
      <c r="K354" s="67">
        <f t="shared" si="69"/>
        <v>32</v>
      </c>
      <c r="L354" s="66">
        <f>L355</f>
        <v>0</v>
      </c>
      <c r="M354" s="67">
        <f t="shared" si="70"/>
        <v>32</v>
      </c>
      <c r="N354" s="66">
        <f>N355</f>
        <v>0</v>
      </c>
      <c r="O354" s="67">
        <f t="shared" si="67"/>
        <v>32</v>
      </c>
    </row>
    <row r="355" spans="1:15" s="107" customFormat="1" ht="33" x14ac:dyDescent="0.2">
      <c r="A355" s="64" t="str">
        <f ca="1">IF(ISERROR(MATCH(F355,Код_КВР,0)),"",INDIRECT(ADDRESS(MATCH(F355,Код_КВР,0)+1,2,,,"КВР")))</f>
        <v>Закупка товаров, работ и услуг для обеспечения государственных (муниципальных) нужд</v>
      </c>
      <c r="B355" s="26">
        <v>801</v>
      </c>
      <c r="C355" s="65" t="s">
        <v>60</v>
      </c>
      <c r="D355" s="65" t="s">
        <v>60</v>
      </c>
      <c r="E355" s="26" t="s">
        <v>374</v>
      </c>
      <c r="F355" s="26">
        <v>200</v>
      </c>
      <c r="G355" s="66">
        <f>G356</f>
        <v>32</v>
      </c>
      <c r="H355" s="66">
        <f>H356</f>
        <v>0</v>
      </c>
      <c r="I355" s="67">
        <f t="shared" si="59"/>
        <v>32</v>
      </c>
      <c r="J355" s="66">
        <f>J356</f>
        <v>0</v>
      </c>
      <c r="K355" s="67">
        <f t="shared" si="69"/>
        <v>32</v>
      </c>
      <c r="L355" s="66">
        <f>L356</f>
        <v>0</v>
      </c>
      <c r="M355" s="67">
        <f t="shared" si="70"/>
        <v>32</v>
      </c>
      <c r="N355" s="66">
        <f>N356</f>
        <v>0</v>
      </c>
      <c r="O355" s="67">
        <f t="shared" si="67"/>
        <v>32</v>
      </c>
    </row>
    <row r="356" spans="1:15" s="107" customFormat="1" ht="33" x14ac:dyDescent="0.2">
      <c r="A356" s="64" t="str">
        <f ca="1">IF(ISERROR(MATCH(F356,Код_КВР,0)),"",INDIRECT(ADDRESS(MATCH(F356,Код_КВР,0)+1,2,,,"КВР")))</f>
        <v>Иные закупки товаров, работ и услуг для обеспечения государственных (муниципальных) нужд</v>
      </c>
      <c r="B356" s="26">
        <v>801</v>
      </c>
      <c r="C356" s="65" t="s">
        <v>60</v>
      </c>
      <c r="D356" s="65" t="s">
        <v>60</v>
      </c>
      <c r="E356" s="26" t="s">
        <v>374</v>
      </c>
      <c r="F356" s="26">
        <v>240</v>
      </c>
      <c r="G356" s="66">
        <v>32</v>
      </c>
      <c r="H356" s="66"/>
      <c r="I356" s="67">
        <f t="shared" si="59"/>
        <v>32</v>
      </c>
      <c r="J356" s="66"/>
      <c r="K356" s="67">
        <f t="shared" si="69"/>
        <v>32</v>
      </c>
      <c r="L356" s="66"/>
      <c r="M356" s="67">
        <f t="shared" si="70"/>
        <v>32</v>
      </c>
      <c r="N356" s="66"/>
      <c r="O356" s="67">
        <f t="shared" si="67"/>
        <v>32</v>
      </c>
    </row>
    <row r="357" spans="1:15" x14ac:dyDescent="0.2">
      <c r="A357" s="64" t="str">
        <f ca="1">IF(ISERROR(MATCH(C357,Код_Раздел,0)),"",INDIRECT(ADDRESS(MATCH(C357,Код_Раздел,0)+1,2,,,"Раздел")))</f>
        <v>Социальная политика</v>
      </c>
      <c r="B357" s="26">
        <v>801</v>
      </c>
      <c r="C357" s="65" t="s">
        <v>53</v>
      </c>
      <c r="D357" s="65"/>
      <c r="E357" s="26"/>
      <c r="F357" s="26"/>
      <c r="G357" s="66">
        <f>G358+G366+G432+G427</f>
        <v>85229.700000000012</v>
      </c>
      <c r="H357" s="66">
        <f>H358+H366+H432+H427</f>
        <v>0</v>
      </c>
      <c r="I357" s="67">
        <f t="shared" si="59"/>
        <v>85229.700000000012</v>
      </c>
      <c r="J357" s="66">
        <f>J358+J366+J432+J427</f>
        <v>-1910.2</v>
      </c>
      <c r="K357" s="67">
        <f t="shared" si="69"/>
        <v>83319.500000000015</v>
      </c>
      <c r="L357" s="66">
        <f>L358+L366+L432+L427</f>
        <v>6273.5</v>
      </c>
      <c r="M357" s="67">
        <f t="shared" si="70"/>
        <v>89593.000000000015</v>
      </c>
      <c r="N357" s="66">
        <f>N358+N366+N432+N427</f>
        <v>4938.6000000000004</v>
      </c>
      <c r="O357" s="67">
        <f t="shared" si="67"/>
        <v>94531.60000000002</v>
      </c>
    </row>
    <row r="358" spans="1:15" x14ac:dyDescent="0.2">
      <c r="A358" s="74" t="s">
        <v>50</v>
      </c>
      <c r="B358" s="26">
        <v>801</v>
      </c>
      <c r="C358" s="65" t="s">
        <v>53</v>
      </c>
      <c r="D358" s="65" t="s">
        <v>70</v>
      </c>
      <c r="E358" s="26"/>
      <c r="F358" s="26"/>
      <c r="G358" s="66">
        <f t="shared" ref="G358:N361" si="71">G359</f>
        <v>15438.4</v>
      </c>
      <c r="H358" s="66">
        <f t="shared" si="71"/>
        <v>0</v>
      </c>
      <c r="I358" s="67">
        <f t="shared" ref="I358:I432" si="72">G358+H358</f>
        <v>15438.4</v>
      </c>
      <c r="J358" s="66">
        <f t="shared" si="71"/>
        <v>0</v>
      </c>
      <c r="K358" s="67">
        <f t="shared" si="69"/>
        <v>15438.4</v>
      </c>
      <c r="L358" s="66">
        <f t="shared" si="71"/>
        <v>5000</v>
      </c>
      <c r="M358" s="67">
        <f t="shared" si="70"/>
        <v>20438.400000000001</v>
      </c>
      <c r="N358" s="66">
        <f t="shared" si="71"/>
        <v>0</v>
      </c>
      <c r="O358" s="67">
        <f t="shared" si="67"/>
        <v>20438.400000000001</v>
      </c>
    </row>
    <row r="359" spans="1:15" ht="33" x14ac:dyDescent="0.2">
      <c r="A359" s="64" t="str">
        <f ca="1">IF(ISERROR(MATCH(E359,Код_КЦСР,0)),"",INDIRECT(ADDRESS(MATCH(E359,Код_КЦСР,0)+1,2,,,"КЦСР")))</f>
        <v>Муниципальная программа «Совершенствование муниципального управления в городе Череповце» на 2014 – 2020 годы</v>
      </c>
      <c r="B359" s="26">
        <v>801</v>
      </c>
      <c r="C359" s="65" t="s">
        <v>53</v>
      </c>
      <c r="D359" s="65" t="s">
        <v>70</v>
      </c>
      <c r="E359" s="26" t="s">
        <v>381</v>
      </c>
      <c r="F359" s="26"/>
      <c r="G359" s="66">
        <f t="shared" si="71"/>
        <v>15438.4</v>
      </c>
      <c r="H359" s="66">
        <f t="shared" si="71"/>
        <v>0</v>
      </c>
      <c r="I359" s="67">
        <f t="shared" si="72"/>
        <v>15438.4</v>
      </c>
      <c r="J359" s="66">
        <f t="shared" si="71"/>
        <v>0</v>
      </c>
      <c r="K359" s="67">
        <f t="shared" si="69"/>
        <v>15438.4</v>
      </c>
      <c r="L359" s="66">
        <f t="shared" si="71"/>
        <v>5000</v>
      </c>
      <c r="M359" s="67">
        <f t="shared" si="70"/>
        <v>20438.400000000001</v>
      </c>
      <c r="N359" s="66">
        <f t="shared" si="71"/>
        <v>0</v>
      </c>
      <c r="O359" s="67">
        <f t="shared" si="67"/>
        <v>20438.400000000001</v>
      </c>
    </row>
    <row r="360" spans="1:15" x14ac:dyDescent="0.2">
      <c r="A360" s="64" t="str">
        <f ca="1">IF(ISERROR(MATCH(E360,Код_КЦСР,0)),"",INDIRECT(ADDRESS(MATCH(E360,Код_КЦСР,0)+1,2,,,"КЦСР")))</f>
        <v>Развитие муниципальной службы в мэрии города Череповца</v>
      </c>
      <c r="B360" s="26">
        <v>801</v>
      </c>
      <c r="C360" s="65" t="s">
        <v>53</v>
      </c>
      <c r="D360" s="65" t="s">
        <v>70</v>
      </c>
      <c r="E360" s="26" t="s">
        <v>385</v>
      </c>
      <c r="F360" s="26"/>
      <c r="G360" s="66">
        <f t="shared" si="71"/>
        <v>15438.4</v>
      </c>
      <c r="H360" s="66">
        <f t="shared" si="71"/>
        <v>0</v>
      </c>
      <c r="I360" s="67">
        <f t="shared" si="72"/>
        <v>15438.4</v>
      </c>
      <c r="J360" s="66">
        <f t="shared" si="71"/>
        <v>0</v>
      </c>
      <c r="K360" s="67">
        <f t="shared" si="69"/>
        <v>15438.4</v>
      </c>
      <c r="L360" s="66">
        <f t="shared" si="71"/>
        <v>5000</v>
      </c>
      <c r="M360" s="67">
        <f t="shared" si="70"/>
        <v>20438.400000000001</v>
      </c>
      <c r="N360" s="66">
        <f t="shared" si="71"/>
        <v>0</v>
      </c>
      <c r="O360" s="67">
        <f t="shared" si="67"/>
        <v>20438.400000000001</v>
      </c>
    </row>
    <row r="361" spans="1:15" x14ac:dyDescent="0.2">
      <c r="A361" s="64" t="str">
        <f ca="1">IF(ISERROR(MATCH(E361,Код_КЦСР,0)),"",INDIRECT(ADDRESS(MATCH(E361,Код_КЦСР,0)+1,2,,,"КЦСР")))</f>
        <v>Повышение престижа муниципальной службы в городе</v>
      </c>
      <c r="B361" s="26">
        <v>801</v>
      </c>
      <c r="C361" s="65" t="s">
        <v>53</v>
      </c>
      <c r="D361" s="65" t="s">
        <v>70</v>
      </c>
      <c r="E361" s="26" t="s">
        <v>386</v>
      </c>
      <c r="F361" s="26"/>
      <c r="G361" s="66">
        <f t="shared" si="71"/>
        <v>15438.4</v>
      </c>
      <c r="H361" s="66">
        <f t="shared" si="71"/>
        <v>0</v>
      </c>
      <c r="I361" s="67">
        <f t="shared" si="72"/>
        <v>15438.4</v>
      </c>
      <c r="J361" s="66">
        <f t="shared" si="71"/>
        <v>0</v>
      </c>
      <c r="K361" s="67">
        <f t="shared" si="69"/>
        <v>15438.4</v>
      </c>
      <c r="L361" s="66">
        <f>L362+L364</f>
        <v>5000</v>
      </c>
      <c r="M361" s="67">
        <f t="shared" si="70"/>
        <v>20438.400000000001</v>
      </c>
      <c r="N361" s="66">
        <f>N362+N364</f>
        <v>0</v>
      </c>
      <c r="O361" s="67">
        <f t="shared" si="67"/>
        <v>20438.400000000001</v>
      </c>
    </row>
    <row r="362" spans="1:15" x14ac:dyDescent="0.2">
      <c r="A362" s="64" t="str">
        <f ca="1">IF(ISERROR(MATCH(F362,Код_КВР,0)),"",INDIRECT(ADDRESS(MATCH(F362,Код_КВР,0)+1,2,,,"КВР")))</f>
        <v>Социальное обеспечение и иные выплаты населению</v>
      </c>
      <c r="B362" s="26">
        <v>801</v>
      </c>
      <c r="C362" s="65" t="s">
        <v>53</v>
      </c>
      <c r="D362" s="65" t="s">
        <v>70</v>
      </c>
      <c r="E362" s="26" t="s">
        <v>386</v>
      </c>
      <c r="F362" s="26">
        <v>300</v>
      </c>
      <c r="G362" s="66">
        <f>G363</f>
        <v>15438.4</v>
      </c>
      <c r="H362" s="66">
        <f>H363</f>
        <v>0</v>
      </c>
      <c r="I362" s="67">
        <f t="shared" si="72"/>
        <v>15438.4</v>
      </c>
      <c r="J362" s="66">
        <f>J363</f>
        <v>0</v>
      </c>
      <c r="K362" s="67">
        <f t="shared" si="69"/>
        <v>15438.4</v>
      </c>
      <c r="L362" s="66">
        <f>L363</f>
        <v>4583.8999999999996</v>
      </c>
      <c r="M362" s="67">
        <f t="shared" si="70"/>
        <v>20022.3</v>
      </c>
      <c r="N362" s="66">
        <f>N363</f>
        <v>0</v>
      </c>
      <c r="O362" s="67">
        <f t="shared" si="67"/>
        <v>20022.3</v>
      </c>
    </row>
    <row r="363" spans="1:15" ht="33" x14ac:dyDescent="0.2">
      <c r="A363" s="64" t="str">
        <f ca="1">IF(ISERROR(MATCH(F363,Код_КВР,0)),"",INDIRECT(ADDRESS(MATCH(F363,Код_КВР,0)+1,2,,,"КВР")))</f>
        <v>Социальные выплаты гражданам, кроме публичных нормативных социальных выплат</v>
      </c>
      <c r="B363" s="26">
        <v>801</v>
      </c>
      <c r="C363" s="65" t="s">
        <v>53</v>
      </c>
      <c r="D363" s="65" t="s">
        <v>70</v>
      </c>
      <c r="E363" s="26" t="s">
        <v>386</v>
      </c>
      <c r="F363" s="26">
        <v>320</v>
      </c>
      <c r="G363" s="66">
        <v>15438.4</v>
      </c>
      <c r="H363" s="66"/>
      <c r="I363" s="67">
        <f t="shared" si="72"/>
        <v>15438.4</v>
      </c>
      <c r="J363" s="66"/>
      <c r="K363" s="67">
        <f t="shared" si="69"/>
        <v>15438.4</v>
      </c>
      <c r="L363" s="66">
        <v>4583.8999999999996</v>
      </c>
      <c r="M363" s="67">
        <f t="shared" si="70"/>
        <v>20022.3</v>
      </c>
      <c r="N363" s="66"/>
      <c r="O363" s="67">
        <f t="shared" si="67"/>
        <v>20022.3</v>
      </c>
    </row>
    <row r="364" spans="1:15" ht="19.5" customHeight="1" x14ac:dyDescent="0.2">
      <c r="A364" s="64" t="str">
        <f ca="1">IF(ISERROR(MATCH(F364,Код_КВР,0)),"",INDIRECT(ADDRESS(MATCH(F364,Код_КВР,0)+1,2,,,"КВР")))</f>
        <v>Иные бюджетные ассигнования</v>
      </c>
      <c r="B364" s="26">
        <v>801</v>
      </c>
      <c r="C364" s="65" t="s">
        <v>53</v>
      </c>
      <c r="D364" s="65" t="s">
        <v>70</v>
      </c>
      <c r="E364" s="26" t="s">
        <v>386</v>
      </c>
      <c r="F364" s="26">
        <v>800</v>
      </c>
      <c r="G364" s="66"/>
      <c r="H364" s="66"/>
      <c r="I364" s="67"/>
      <c r="J364" s="66"/>
      <c r="K364" s="67"/>
      <c r="L364" s="66">
        <f>L365</f>
        <v>416.1</v>
      </c>
      <c r="M364" s="67">
        <f t="shared" si="70"/>
        <v>416.1</v>
      </c>
      <c r="N364" s="66">
        <f>N365</f>
        <v>0</v>
      </c>
      <c r="O364" s="67">
        <f t="shared" si="67"/>
        <v>416.1</v>
      </c>
    </row>
    <row r="365" spans="1:15" ht="19.5" customHeight="1" x14ac:dyDescent="0.2">
      <c r="A365" s="64" t="str">
        <f ca="1">IF(ISERROR(MATCH(F365,Код_КВР,0)),"",INDIRECT(ADDRESS(MATCH(F365,Код_КВР,0)+1,2,,,"КВР")))</f>
        <v>Исполнение судебных актов</v>
      </c>
      <c r="B365" s="26">
        <v>801</v>
      </c>
      <c r="C365" s="65" t="s">
        <v>53</v>
      </c>
      <c r="D365" s="65" t="s">
        <v>70</v>
      </c>
      <c r="E365" s="26" t="s">
        <v>386</v>
      </c>
      <c r="F365" s="26">
        <v>830</v>
      </c>
      <c r="G365" s="66"/>
      <c r="H365" s="66"/>
      <c r="I365" s="67"/>
      <c r="J365" s="66"/>
      <c r="K365" s="67"/>
      <c r="L365" s="66">
        <v>416.1</v>
      </c>
      <c r="M365" s="67">
        <f t="shared" si="70"/>
        <v>416.1</v>
      </c>
      <c r="N365" s="66"/>
      <c r="O365" s="67">
        <f t="shared" si="67"/>
        <v>416.1</v>
      </c>
    </row>
    <row r="366" spans="1:15" x14ac:dyDescent="0.2">
      <c r="A366" s="74" t="s">
        <v>44</v>
      </c>
      <c r="B366" s="26">
        <v>801</v>
      </c>
      <c r="C366" s="65" t="s">
        <v>53</v>
      </c>
      <c r="D366" s="65" t="s">
        <v>72</v>
      </c>
      <c r="E366" s="26"/>
      <c r="F366" s="26"/>
      <c r="G366" s="66">
        <f>G367+G393+G422</f>
        <v>58483.200000000004</v>
      </c>
      <c r="H366" s="66">
        <f>H367+H393+H422</f>
        <v>0</v>
      </c>
      <c r="I366" s="67">
        <f t="shared" si="72"/>
        <v>58483.200000000004</v>
      </c>
      <c r="J366" s="66">
        <f>J367+J393+J422</f>
        <v>-1910.2</v>
      </c>
      <c r="K366" s="67">
        <f t="shared" si="69"/>
        <v>56573.000000000007</v>
      </c>
      <c r="L366" s="66">
        <f>L367+L393+L422</f>
        <v>1273.5</v>
      </c>
      <c r="M366" s="67">
        <f t="shared" si="70"/>
        <v>57846.500000000007</v>
      </c>
      <c r="N366" s="66">
        <f>N367+N393+N422</f>
        <v>4938.6000000000004</v>
      </c>
      <c r="O366" s="67">
        <f t="shared" si="67"/>
        <v>62785.100000000006</v>
      </c>
    </row>
    <row r="367" spans="1:15" ht="33" x14ac:dyDescent="0.2">
      <c r="A367" s="64" t="str">
        <f ca="1">IF(ISERROR(MATCH(E367,Код_КЦСР,0)),"",INDIRECT(ADDRESS(MATCH(E367,Код_КЦСР,0)+1,2,,,"КЦСР")))</f>
        <v>Муниципальная программа «Социальная поддержка граждан» на 2014 – 2022 годы</v>
      </c>
      <c r="B367" s="26">
        <v>801</v>
      </c>
      <c r="C367" s="65" t="s">
        <v>53</v>
      </c>
      <c r="D367" s="65" t="s">
        <v>72</v>
      </c>
      <c r="E367" s="26" t="s">
        <v>311</v>
      </c>
      <c r="F367" s="26"/>
      <c r="G367" s="66">
        <f>G368+G373+G378+G383+G388</f>
        <v>38669.800000000003</v>
      </c>
      <c r="H367" s="66">
        <f>H368+H373+H378+H383+H388</f>
        <v>0</v>
      </c>
      <c r="I367" s="67">
        <f t="shared" si="72"/>
        <v>38669.800000000003</v>
      </c>
      <c r="J367" s="66">
        <f>J368+J373+J378+J383+J388</f>
        <v>0</v>
      </c>
      <c r="K367" s="67">
        <f t="shared" si="69"/>
        <v>38669.800000000003</v>
      </c>
      <c r="L367" s="66">
        <f>L368+L373+L378+L383+L388</f>
        <v>0</v>
      </c>
      <c r="M367" s="67">
        <f t="shared" si="70"/>
        <v>38669.800000000003</v>
      </c>
      <c r="N367" s="66">
        <f>N368+N373+N378+N383+N388</f>
        <v>0</v>
      </c>
      <c r="O367" s="67">
        <f t="shared" si="67"/>
        <v>38669.800000000003</v>
      </c>
    </row>
    <row r="368" spans="1:15" ht="33" x14ac:dyDescent="0.2">
      <c r="A368" s="64" t="str">
        <f ca="1">IF(ISERROR(MATCH(E368,Код_КЦСР,0)),"",INDIRECT(ADDRESS(MATCH(E368,Код_КЦСР,0)+1,2,,,"КЦСР")))</f>
        <v>Выплата ежемесячного социального пособия на оздоровление работникам учреждений здравоохранения</v>
      </c>
      <c r="B368" s="26">
        <v>801</v>
      </c>
      <c r="C368" s="65" t="s">
        <v>53</v>
      </c>
      <c r="D368" s="65" t="s">
        <v>72</v>
      </c>
      <c r="E368" s="26" t="s">
        <v>313</v>
      </c>
      <c r="F368" s="26"/>
      <c r="G368" s="66">
        <f t="shared" ref="G368:N369" si="73">G369</f>
        <v>14580</v>
      </c>
      <c r="H368" s="66">
        <f t="shared" si="73"/>
        <v>0</v>
      </c>
      <c r="I368" s="67">
        <f t="shared" si="72"/>
        <v>14580</v>
      </c>
      <c r="J368" s="66">
        <f t="shared" si="73"/>
        <v>0</v>
      </c>
      <c r="K368" s="67">
        <f t="shared" si="69"/>
        <v>14580</v>
      </c>
      <c r="L368" s="66">
        <f t="shared" si="73"/>
        <v>0</v>
      </c>
      <c r="M368" s="67">
        <f t="shared" si="70"/>
        <v>14580</v>
      </c>
      <c r="N368" s="66">
        <f t="shared" si="73"/>
        <v>0</v>
      </c>
      <c r="O368" s="67">
        <f t="shared" si="67"/>
        <v>14580</v>
      </c>
    </row>
    <row r="369" spans="1:15" ht="33" x14ac:dyDescent="0.2">
      <c r="A369" s="64" t="str">
        <f ca="1">IF(ISERROR(MATCH(E369,Код_КЦСР,0)),"",INDIRECT(ADDRESS(MATCH(E369,Код_КЦСР,0)+1,2,,,"КЦСР")))</f>
        <v>Выплата ежемесячного социального пособия на оздоровление работникам учреждений здравоохранения, за счет средств городского бюджета</v>
      </c>
      <c r="B369" s="26">
        <v>801</v>
      </c>
      <c r="C369" s="65" t="s">
        <v>53</v>
      </c>
      <c r="D369" s="65" t="s">
        <v>72</v>
      </c>
      <c r="E369" s="26" t="s">
        <v>314</v>
      </c>
      <c r="F369" s="26"/>
      <c r="G369" s="66">
        <f t="shared" si="73"/>
        <v>14580</v>
      </c>
      <c r="H369" s="66">
        <f t="shared" si="73"/>
        <v>0</v>
      </c>
      <c r="I369" s="67">
        <f t="shared" si="72"/>
        <v>14580</v>
      </c>
      <c r="J369" s="66">
        <f t="shared" si="73"/>
        <v>0</v>
      </c>
      <c r="K369" s="67">
        <f t="shared" si="69"/>
        <v>14580</v>
      </c>
      <c r="L369" s="66">
        <f t="shared" si="73"/>
        <v>0</v>
      </c>
      <c r="M369" s="67">
        <f t="shared" si="70"/>
        <v>14580</v>
      </c>
      <c r="N369" s="66">
        <f t="shared" si="73"/>
        <v>0</v>
      </c>
      <c r="O369" s="67">
        <f t="shared" si="67"/>
        <v>14580</v>
      </c>
    </row>
    <row r="370" spans="1:15" ht="49.5" x14ac:dyDescent="0.2">
      <c r="A370" s="64" t="str">
        <f ca="1">IF(ISERROR(MATCH(E370,Код_КЦСР,0)),"",INDIRECT(ADDRESS(MATCH(E370,Код_КЦСР,0)+1,2,,,"КЦСР")))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v>
      </c>
      <c r="B370" s="26">
        <v>801</v>
      </c>
      <c r="C370" s="65" t="s">
        <v>53</v>
      </c>
      <c r="D370" s="65" t="s">
        <v>72</v>
      </c>
      <c r="E370" s="26" t="s">
        <v>315</v>
      </c>
      <c r="F370" s="26"/>
      <c r="G370" s="66">
        <f t="shared" ref="G370:N371" si="74">G371</f>
        <v>14580</v>
      </c>
      <c r="H370" s="66">
        <f t="shared" si="74"/>
        <v>0</v>
      </c>
      <c r="I370" s="67">
        <f t="shared" si="72"/>
        <v>14580</v>
      </c>
      <c r="J370" s="66">
        <f t="shared" si="74"/>
        <v>0</v>
      </c>
      <c r="K370" s="67">
        <f t="shared" si="69"/>
        <v>14580</v>
      </c>
      <c r="L370" s="66">
        <f t="shared" si="74"/>
        <v>0</v>
      </c>
      <c r="M370" s="67">
        <f t="shared" si="70"/>
        <v>14580</v>
      </c>
      <c r="N370" s="66">
        <f t="shared" si="74"/>
        <v>0</v>
      </c>
      <c r="O370" s="67">
        <f t="shared" si="67"/>
        <v>14580</v>
      </c>
    </row>
    <row r="371" spans="1:15" x14ac:dyDescent="0.2">
      <c r="A371" s="64" t="str">
        <f ca="1">IF(ISERROR(MATCH(F371,Код_КВР,0)),"",INDIRECT(ADDRESS(MATCH(F371,Код_КВР,0)+1,2,,,"КВР")))</f>
        <v>Социальное обеспечение и иные выплаты населению</v>
      </c>
      <c r="B371" s="26">
        <v>801</v>
      </c>
      <c r="C371" s="65" t="s">
        <v>53</v>
      </c>
      <c r="D371" s="65" t="s">
        <v>72</v>
      </c>
      <c r="E371" s="26" t="s">
        <v>315</v>
      </c>
      <c r="F371" s="26">
        <v>300</v>
      </c>
      <c r="G371" s="66">
        <f t="shared" si="74"/>
        <v>14580</v>
      </c>
      <c r="H371" s="66">
        <f t="shared" si="74"/>
        <v>0</v>
      </c>
      <c r="I371" s="67">
        <f t="shared" si="72"/>
        <v>14580</v>
      </c>
      <c r="J371" s="66">
        <f t="shared" si="74"/>
        <v>0</v>
      </c>
      <c r="K371" s="67">
        <f t="shared" si="69"/>
        <v>14580</v>
      </c>
      <c r="L371" s="66">
        <f t="shared" si="74"/>
        <v>0</v>
      </c>
      <c r="M371" s="67">
        <f t="shared" si="70"/>
        <v>14580</v>
      </c>
      <c r="N371" s="66">
        <f t="shared" si="74"/>
        <v>0</v>
      </c>
      <c r="O371" s="67">
        <f t="shared" si="67"/>
        <v>14580</v>
      </c>
    </row>
    <row r="372" spans="1:15" x14ac:dyDescent="0.2">
      <c r="A372" s="64" t="str">
        <f ca="1">IF(ISERROR(MATCH(F372,Код_КВР,0)),"",INDIRECT(ADDRESS(MATCH(F372,Код_КВР,0)+1,2,,,"КВР")))</f>
        <v>Публичные нормативные социальные выплаты гражданам</v>
      </c>
      <c r="B372" s="26">
        <v>801</v>
      </c>
      <c r="C372" s="65" t="s">
        <v>53</v>
      </c>
      <c r="D372" s="65" t="s">
        <v>72</v>
      </c>
      <c r="E372" s="26" t="s">
        <v>315</v>
      </c>
      <c r="F372" s="26">
        <v>310</v>
      </c>
      <c r="G372" s="66">
        <v>14580</v>
      </c>
      <c r="H372" s="66"/>
      <c r="I372" s="67">
        <f t="shared" si="72"/>
        <v>14580</v>
      </c>
      <c r="J372" s="66"/>
      <c r="K372" s="67">
        <f t="shared" si="69"/>
        <v>14580</v>
      </c>
      <c r="L372" s="66"/>
      <c r="M372" s="67">
        <f t="shared" si="70"/>
        <v>14580</v>
      </c>
      <c r="N372" s="66"/>
      <c r="O372" s="67">
        <f t="shared" si="67"/>
        <v>14580</v>
      </c>
    </row>
    <row r="373" spans="1:15" ht="33" x14ac:dyDescent="0.2">
      <c r="A373" s="64" t="str">
        <f ca="1">IF(ISERROR(MATCH(E373,Код_КЦСР,0)),"",INDIRECT(ADDRESS(MATCH(E373,Код_КЦСР,0)+1,2,,,"КЦСР")))</f>
        <v>Выплата ежемесячного социального пособия за найм (поднайм) жилых помещений специалистам учреждений здравоохранения</v>
      </c>
      <c r="B373" s="26">
        <v>801</v>
      </c>
      <c r="C373" s="65" t="s">
        <v>53</v>
      </c>
      <c r="D373" s="65" t="s">
        <v>72</v>
      </c>
      <c r="E373" s="26" t="s">
        <v>316</v>
      </c>
      <c r="F373" s="26"/>
      <c r="G373" s="66">
        <f t="shared" ref="G373:N374" si="75">G374</f>
        <v>11016</v>
      </c>
      <c r="H373" s="66">
        <f t="shared" si="75"/>
        <v>0</v>
      </c>
      <c r="I373" s="67">
        <f t="shared" si="72"/>
        <v>11016</v>
      </c>
      <c r="J373" s="66">
        <f t="shared" si="75"/>
        <v>0</v>
      </c>
      <c r="K373" s="67">
        <f t="shared" si="69"/>
        <v>11016</v>
      </c>
      <c r="L373" s="66">
        <f t="shared" si="75"/>
        <v>0</v>
      </c>
      <c r="M373" s="67">
        <f t="shared" si="70"/>
        <v>11016</v>
      </c>
      <c r="N373" s="66">
        <f t="shared" si="75"/>
        <v>0</v>
      </c>
      <c r="O373" s="67">
        <f t="shared" si="67"/>
        <v>11016</v>
      </c>
    </row>
    <row r="374" spans="1:15" ht="49.5" x14ac:dyDescent="0.2">
      <c r="A374" s="64" t="str">
        <f ca="1">IF(ISERROR(MATCH(E374,Код_КЦСР,0)),"",INDIRECT(ADDRESS(MATCH(E374,Код_КЦСР,0)+1,2,,,"КЦСР")))</f>
        <v>Выплата ежемесячного социального пособия за найм (поднайм) жилых помещений специалистам учреждений здравоохранения, за счет средств городского бюджета</v>
      </c>
      <c r="B374" s="26">
        <v>801</v>
      </c>
      <c r="C374" s="65" t="s">
        <v>53</v>
      </c>
      <c r="D374" s="65" t="s">
        <v>72</v>
      </c>
      <c r="E374" s="26" t="s">
        <v>317</v>
      </c>
      <c r="F374" s="26"/>
      <c r="G374" s="66">
        <f t="shared" si="75"/>
        <v>11016</v>
      </c>
      <c r="H374" s="66">
        <f t="shared" si="75"/>
        <v>0</v>
      </c>
      <c r="I374" s="67">
        <f t="shared" si="72"/>
        <v>11016</v>
      </c>
      <c r="J374" s="66">
        <f t="shared" si="75"/>
        <v>0</v>
      </c>
      <c r="K374" s="67">
        <f t="shared" si="69"/>
        <v>11016</v>
      </c>
      <c r="L374" s="66">
        <f t="shared" si="75"/>
        <v>0</v>
      </c>
      <c r="M374" s="67">
        <f t="shared" si="70"/>
        <v>11016</v>
      </c>
      <c r="N374" s="66">
        <f t="shared" si="75"/>
        <v>0</v>
      </c>
      <c r="O374" s="67">
        <f t="shared" si="67"/>
        <v>11016</v>
      </c>
    </row>
    <row r="375" spans="1:15" ht="49.5" x14ac:dyDescent="0.2">
      <c r="A375" s="64" t="str">
        <f ca="1">IF(ISERROR(MATCH(E375,Код_КЦСР,0)),"",INDIRECT(ADDRESS(MATCH(E375,Код_КЦСР,0)+1,2,,,"КЦСР")))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v>
      </c>
      <c r="B375" s="26">
        <v>801</v>
      </c>
      <c r="C375" s="65" t="s">
        <v>53</v>
      </c>
      <c r="D375" s="65" t="s">
        <v>72</v>
      </c>
      <c r="E375" s="26" t="s">
        <v>318</v>
      </c>
      <c r="F375" s="26"/>
      <c r="G375" s="66">
        <f t="shared" ref="G375:N376" si="76">G376</f>
        <v>11016</v>
      </c>
      <c r="H375" s="66">
        <f t="shared" si="76"/>
        <v>0</v>
      </c>
      <c r="I375" s="67">
        <f t="shared" si="72"/>
        <v>11016</v>
      </c>
      <c r="J375" s="66">
        <f t="shared" si="76"/>
        <v>0</v>
      </c>
      <c r="K375" s="67">
        <f t="shared" si="69"/>
        <v>11016</v>
      </c>
      <c r="L375" s="66">
        <f t="shared" si="76"/>
        <v>0</v>
      </c>
      <c r="M375" s="67">
        <f t="shared" si="70"/>
        <v>11016</v>
      </c>
      <c r="N375" s="66">
        <f t="shared" si="76"/>
        <v>0</v>
      </c>
      <c r="O375" s="67">
        <f t="shared" si="67"/>
        <v>11016</v>
      </c>
    </row>
    <row r="376" spans="1:15" x14ac:dyDescent="0.2">
      <c r="A376" s="64" t="str">
        <f ca="1">IF(ISERROR(MATCH(F376,Код_КВР,0)),"",INDIRECT(ADDRESS(MATCH(F376,Код_КВР,0)+1,2,,,"КВР")))</f>
        <v>Социальное обеспечение и иные выплаты населению</v>
      </c>
      <c r="B376" s="26">
        <v>801</v>
      </c>
      <c r="C376" s="65" t="s">
        <v>53</v>
      </c>
      <c r="D376" s="65" t="s">
        <v>72</v>
      </c>
      <c r="E376" s="26" t="s">
        <v>318</v>
      </c>
      <c r="F376" s="26">
        <v>300</v>
      </c>
      <c r="G376" s="66">
        <f t="shared" si="76"/>
        <v>11016</v>
      </c>
      <c r="H376" s="66">
        <f t="shared" si="76"/>
        <v>0</v>
      </c>
      <c r="I376" s="67">
        <f t="shared" si="72"/>
        <v>11016</v>
      </c>
      <c r="J376" s="66">
        <f t="shared" si="76"/>
        <v>0</v>
      </c>
      <c r="K376" s="67">
        <f t="shared" si="69"/>
        <v>11016</v>
      </c>
      <c r="L376" s="66">
        <f t="shared" si="76"/>
        <v>0</v>
      </c>
      <c r="M376" s="67">
        <f t="shared" si="70"/>
        <v>11016</v>
      </c>
      <c r="N376" s="66">
        <f t="shared" si="76"/>
        <v>0</v>
      </c>
      <c r="O376" s="67">
        <f t="shared" si="67"/>
        <v>11016</v>
      </c>
    </row>
    <row r="377" spans="1:15" x14ac:dyDescent="0.2">
      <c r="A377" s="64" t="str">
        <f ca="1">IF(ISERROR(MATCH(F377,Код_КВР,0)),"",INDIRECT(ADDRESS(MATCH(F377,Код_КВР,0)+1,2,,,"КВР")))</f>
        <v>Публичные нормативные социальные выплаты гражданам</v>
      </c>
      <c r="B377" s="26">
        <v>801</v>
      </c>
      <c r="C377" s="65" t="s">
        <v>53</v>
      </c>
      <c r="D377" s="65" t="s">
        <v>72</v>
      </c>
      <c r="E377" s="26" t="s">
        <v>318</v>
      </c>
      <c r="F377" s="26">
        <v>310</v>
      </c>
      <c r="G377" s="66">
        <v>11016</v>
      </c>
      <c r="H377" s="66"/>
      <c r="I377" s="67">
        <f t="shared" si="72"/>
        <v>11016</v>
      </c>
      <c r="J377" s="66"/>
      <c r="K377" s="67">
        <f t="shared" si="69"/>
        <v>11016</v>
      </c>
      <c r="L377" s="66"/>
      <c r="M377" s="67">
        <f t="shared" si="70"/>
        <v>11016</v>
      </c>
      <c r="N377" s="66"/>
      <c r="O377" s="67">
        <f t="shared" si="67"/>
        <v>11016</v>
      </c>
    </row>
    <row r="378" spans="1:15" ht="33" x14ac:dyDescent="0.2">
      <c r="A378" s="64" t="str">
        <f ca="1">IF(ISERROR(MATCH(E378,Код_КЦСР,0)),"",INDIRECT(ADDRESS(MATCH(E378,Код_КЦСР,0)+1,2,,,"КЦСР")))</f>
        <v>Выплата вознаграждений лицам, имеющим знак «За особые заслуги перед городом Череповцом»</v>
      </c>
      <c r="B378" s="26">
        <v>801</v>
      </c>
      <c r="C378" s="65" t="s">
        <v>53</v>
      </c>
      <c r="D378" s="65" t="s">
        <v>72</v>
      </c>
      <c r="E378" s="26" t="s">
        <v>319</v>
      </c>
      <c r="F378" s="26"/>
      <c r="G378" s="66">
        <f t="shared" ref="G378:N379" si="77">G379</f>
        <v>383</v>
      </c>
      <c r="H378" s="66">
        <f t="shared" si="77"/>
        <v>0</v>
      </c>
      <c r="I378" s="67">
        <f t="shared" si="72"/>
        <v>383</v>
      </c>
      <c r="J378" s="66">
        <f t="shared" si="77"/>
        <v>0</v>
      </c>
      <c r="K378" s="67">
        <f t="shared" si="69"/>
        <v>383</v>
      </c>
      <c r="L378" s="66">
        <f t="shared" si="77"/>
        <v>0</v>
      </c>
      <c r="M378" s="67">
        <f t="shared" si="70"/>
        <v>383</v>
      </c>
      <c r="N378" s="66">
        <f t="shared" si="77"/>
        <v>0</v>
      </c>
      <c r="O378" s="67">
        <f t="shared" si="67"/>
        <v>383</v>
      </c>
    </row>
    <row r="379" spans="1:15" ht="33" x14ac:dyDescent="0.2">
      <c r="A379" s="64" t="str">
        <f ca="1">IF(ISERROR(MATCH(E379,Код_КЦСР,0)),"",INDIRECT(ADDRESS(MATCH(E379,Код_КЦСР,0)+1,2,,,"КЦСР")))</f>
        <v>Выплата вознаграждений лицам, имеющим знак «За особые заслуги перед городом Череповцом», за счет средств городского бюджета</v>
      </c>
      <c r="B379" s="26">
        <v>801</v>
      </c>
      <c r="C379" s="65" t="s">
        <v>53</v>
      </c>
      <c r="D379" s="65" t="s">
        <v>72</v>
      </c>
      <c r="E379" s="26" t="s">
        <v>320</v>
      </c>
      <c r="F379" s="26"/>
      <c r="G379" s="66">
        <f t="shared" si="77"/>
        <v>383</v>
      </c>
      <c r="H379" s="66">
        <f t="shared" si="77"/>
        <v>0</v>
      </c>
      <c r="I379" s="67">
        <f t="shared" si="72"/>
        <v>383</v>
      </c>
      <c r="J379" s="66">
        <f t="shared" si="77"/>
        <v>0</v>
      </c>
      <c r="K379" s="67">
        <f t="shared" si="69"/>
        <v>383</v>
      </c>
      <c r="L379" s="66">
        <f t="shared" si="77"/>
        <v>0</v>
      </c>
      <c r="M379" s="67">
        <f t="shared" si="70"/>
        <v>383</v>
      </c>
      <c r="N379" s="66">
        <f t="shared" si="77"/>
        <v>0</v>
      </c>
      <c r="O379" s="67">
        <f t="shared" si="67"/>
        <v>383</v>
      </c>
    </row>
    <row r="380" spans="1:15" ht="49.5" x14ac:dyDescent="0.2">
      <c r="A380" s="64" t="str">
        <f ca="1">IF(ISERROR(MATCH(E380,Код_КЦСР,0)),"",INDIRECT(ADDRESS(MATCH(E380,Код_КЦСР,0)+1,2,,,"КЦСР")))</f>
        <v>Выплата вознаграждений лицам, имеющим знак «За особые заслуги перед городом Череповцом», в соответствии с постановлением Череповецкой городской Думы от 27.09.2005  № 88</v>
      </c>
      <c r="B380" s="26">
        <v>801</v>
      </c>
      <c r="C380" s="65" t="s">
        <v>53</v>
      </c>
      <c r="D380" s="65" t="s">
        <v>72</v>
      </c>
      <c r="E380" s="26" t="s">
        <v>321</v>
      </c>
      <c r="F380" s="26"/>
      <c r="G380" s="66">
        <f>G381</f>
        <v>383</v>
      </c>
      <c r="H380" s="66">
        <f>H381</f>
        <v>0</v>
      </c>
      <c r="I380" s="67">
        <f t="shared" si="72"/>
        <v>383</v>
      </c>
      <c r="J380" s="66">
        <f>J381</f>
        <v>0</v>
      </c>
      <c r="K380" s="67">
        <f t="shared" si="69"/>
        <v>383</v>
      </c>
      <c r="L380" s="66">
        <f>L381</f>
        <v>0</v>
      </c>
      <c r="M380" s="67">
        <f t="shared" si="70"/>
        <v>383</v>
      </c>
      <c r="N380" s="66">
        <f>N381</f>
        <v>0</v>
      </c>
      <c r="O380" s="67">
        <f t="shared" si="67"/>
        <v>383</v>
      </c>
    </row>
    <row r="381" spans="1:15" x14ac:dyDescent="0.2">
      <c r="A381" s="64" t="str">
        <f ca="1">IF(ISERROR(MATCH(F381,Код_КВР,0)),"",INDIRECT(ADDRESS(MATCH(F381,Код_КВР,0)+1,2,,,"КВР")))</f>
        <v>Социальное обеспечение и иные выплаты населению</v>
      </c>
      <c r="B381" s="26">
        <v>801</v>
      </c>
      <c r="C381" s="65" t="s">
        <v>53</v>
      </c>
      <c r="D381" s="65" t="s">
        <v>72</v>
      </c>
      <c r="E381" s="26" t="s">
        <v>321</v>
      </c>
      <c r="F381" s="26">
        <v>300</v>
      </c>
      <c r="G381" s="66">
        <f>G382</f>
        <v>383</v>
      </c>
      <c r="H381" s="66">
        <f>H382</f>
        <v>0</v>
      </c>
      <c r="I381" s="67">
        <f t="shared" si="72"/>
        <v>383</v>
      </c>
      <c r="J381" s="66">
        <f>J382</f>
        <v>0</v>
      </c>
      <c r="K381" s="67">
        <f t="shared" si="69"/>
        <v>383</v>
      </c>
      <c r="L381" s="66">
        <f>L382</f>
        <v>0</v>
      </c>
      <c r="M381" s="67">
        <f t="shared" si="70"/>
        <v>383</v>
      </c>
      <c r="N381" s="66">
        <f>N382</f>
        <v>0</v>
      </c>
      <c r="O381" s="67">
        <f t="shared" si="67"/>
        <v>383</v>
      </c>
    </row>
    <row r="382" spans="1:15" x14ac:dyDescent="0.2">
      <c r="A382" s="64" t="str">
        <f ca="1">IF(ISERROR(MATCH(F382,Код_КВР,0)),"",INDIRECT(ADDRESS(MATCH(F382,Код_КВР,0)+1,2,,,"КВР")))</f>
        <v>Публичные нормативные социальные выплаты гражданам</v>
      </c>
      <c r="B382" s="26">
        <v>801</v>
      </c>
      <c r="C382" s="65" t="s">
        <v>53</v>
      </c>
      <c r="D382" s="65" t="s">
        <v>72</v>
      </c>
      <c r="E382" s="26" t="s">
        <v>321</v>
      </c>
      <c r="F382" s="26">
        <v>310</v>
      </c>
      <c r="G382" s="66">
        <v>383</v>
      </c>
      <c r="H382" s="66"/>
      <c r="I382" s="67">
        <f t="shared" si="72"/>
        <v>383</v>
      </c>
      <c r="J382" s="66"/>
      <c r="K382" s="67">
        <f t="shared" si="69"/>
        <v>383</v>
      </c>
      <c r="L382" s="66"/>
      <c r="M382" s="67">
        <f t="shared" si="70"/>
        <v>383</v>
      </c>
      <c r="N382" s="66"/>
      <c r="O382" s="67">
        <f t="shared" si="67"/>
        <v>383</v>
      </c>
    </row>
    <row r="383" spans="1:15" ht="33" x14ac:dyDescent="0.2">
      <c r="A383" s="64" t="str">
        <f ca="1">IF(ISERROR(MATCH(E383,Код_КЦСР,0)),"",INDIRECT(ADDRESS(MATCH(E383,Код_КЦСР,0)+1,2,,,"КЦСР")))</f>
        <v>Выплата вознаграждений лицам, имеющим звание «Почетный гражданин города Череповца»</v>
      </c>
      <c r="B383" s="26">
        <v>801</v>
      </c>
      <c r="C383" s="65" t="s">
        <v>53</v>
      </c>
      <c r="D383" s="65" t="s">
        <v>72</v>
      </c>
      <c r="E383" s="26" t="s">
        <v>322</v>
      </c>
      <c r="F383" s="26"/>
      <c r="G383" s="66">
        <f t="shared" ref="G383:N384" si="78">G384</f>
        <v>348</v>
      </c>
      <c r="H383" s="66">
        <f t="shared" si="78"/>
        <v>0</v>
      </c>
      <c r="I383" s="67">
        <f t="shared" si="72"/>
        <v>348</v>
      </c>
      <c r="J383" s="66">
        <f t="shared" si="78"/>
        <v>0</v>
      </c>
      <c r="K383" s="67">
        <f t="shared" si="69"/>
        <v>348</v>
      </c>
      <c r="L383" s="66">
        <f t="shared" si="78"/>
        <v>0</v>
      </c>
      <c r="M383" s="67">
        <f t="shared" si="70"/>
        <v>348</v>
      </c>
      <c r="N383" s="66">
        <f t="shared" si="78"/>
        <v>0</v>
      </c>
      <c r="O383" s="67">
        <f t="shared" si="67"/>
        <v>348</v>
      </c>
    </row>
    <row r="384" spans="1:15" ht="33" x14ac:dyDescent="0.2">
      <c r="A384" s="64" t="str">
        <f ca="1">IF(ISERROR(MATCH(E384,Код_КЦСР,0)),"",INDIRECT(ADDRESS(MATCH(E384,Код_КЦСР,0)+1,2,,,"КЦСР")))</f>
        <v>Выплата вознаграждений лицам, имеющим звание «Почетный гражданин города Череповца», за счет средств городского бюджета</v>
      </c>
      <c r="B384" s="26">
        <v>801</v>
      </c>
      <c r="C384" s="65" t="s">
        <v>53</v>
      </c>
      <c r="D384" s="65" t="s">
        <v>72</v>
      </c>
      <c r="E384" s="26" t="s">
        <v>323</v>
      </c>
      <c r="F384" s="26"/>
      <c r="G384" s="66">
        <f t="shared" si="78"/>
        <v>348</v>
      </c>
      <c r="H384" s="66">
        <f t="shared" si="78"/>
        <v>0</v>
      </c>
      <c r="I384" s="67">
        <f t="shared" si="72"/>
        <v>348</v>
      </c>
      <c r="J384" s="66">
        <f t="shared" si="78"/>
        <v>0</v>
      </c>
      <c r="K384" s="67">
        <f t="shared" si="69"/>
        <v>348</v>
      </c>
      <c r="L384" s="66">
        <f t="shared" si="78"/>
        <v>0</v>
      </c>
      <c r="M384" s="67">
        <f t="shared" si="70"/>
        <v>348</v>
      </c>
      <c r="N384" s="66">
        <f t="shared" si="78"/>
        <v>0</v>
      </c>
      <c r="O384" s="67">
        <f t="shared" si="67"/>
        <v>348</v>
      </c>
    </row>
    <row r="385" spans="1:15" ht="49.5" x14ac:dyDescent="0.2">
      <c r="A385" s="64" t="str">
        <f ca="1">IF(ISERROR(MATCH(E385,Код_КЦСР,0)),"",INDIRECT(ADDRESS(MATCH(E385,Код_КЦСР,0)+1,2,,,"КЦСР")))</f>
        <v>Выплата вознаграждений лицам, имеющим звание «Почетный гражданин города Череповца», в соответствии с постановлением Череповецкой городской Думы от 27.09.2005 № 87</v>
      </c>
      <c r="B385" s="26">
        <v>801</v>
      </c>
      <c r="C385" s="65" t="s">
        <v>53</v>
      </c>
      <c r="D385" s="65" t="s">
        <v>72</v>
      </c>
      <c r="E385" s="26" t="s">
        <v>324</v>
      </c>
      <c r="F385" s="26"/>
      <c r="G385" s="66">
        <f>G386</f>
        <v>348</v>
      </c>
      <c r="H385" s="66">
        <f>H386</f>
        <v>0</v>
      </c>
      <c r="I385" s="67">
        <f t="shared" si="72"/>
        <v>348</v>
      </c>
      <c r="J385" s="66">
        <f>J386</f>
        <v>0</v>
      </c>
      <c r="K385" s="67">
        <f t="shared" si="69"/>
        <v>348</v>
      </c>
      <c r="L385" s="66">
        <f>L386</f>
        <v>0</v>
      </c>
      <c r="M385" s="67">
        <f t="shared" si="70"/>
        <v>348</v>
      </c>
      <c r="N385" s="66">
        <f>N386</f>
        <v>0</v>
      </c>
      <c r="O385" s="67">
        <f t="shared" si="67"/>
        <v>348</v>
      </c>
    </row>
    <row r="386" spans="1:15" x14ac:dyDescent="0.2">
      <c r="A386" s="64" t="str">
        <f ca="1">IF(ISERROR(MATCH(F386,Код_КВР,0)),"",INDIRECT(ADDRESS(MATCH(F386,Код_КВР,0)+1,2,,,"КВР")))</f>
        <v>Социальное обеспечение и иные выплаты населению</v>
      </c>
      <c r="B386" s="26">
        <v>801</v>
      </c>
      <c r="C386" s="65" t="s">
        <v>53</v>
      </c>
      <c r="D386" s="65" t="s">
        <v>72</v>
      </c>
      <c r="E386" s="26" t="s">
        <v>324</v>
      </c>
      <c r="F386" s="26">
        <v>300</v>
      </c>
      <c r="G386" s="66">
        <f>G387</f>
        <v>348</v>
      </c>
      <c r="H386" s="66">
        <f>H387</f>
        <v>0</v>
      </c>
      <c r="I386" s="67">
        <f t="shared" si="72"/>
        <v>348</v>
      </c>
      <c r="J386" s="66">
        <f>J387</f>
        <v>0</v>
      </c>
      <c r="K386" s="67">
        <f t="shared" si="69"/>
        <v>348</v>
      </c>
      <c r="L386" s="66">
        <f>L387</f>
        <v>0</v>
      </c>
      <c r="M386" s="67">
        <f t="shared" si="70"/>
        <v>348</v>
      </c>
      <c r="N386" s="66">
        <f>N387</f>
        <v>0</v>
      </c>
      <c r="O386" s="67">
        <f t="shared" si="67"/>
        <v>348</v>
      </c>
    </row>
    <row r="387" spans="1:15" x14ac:dyDescent="0.2">
      <c r="A387" s="64" t="str">
        <f ca="1">IF(ISERROR(MATCH(F387,Код_КВР,0)),"",INDIRECT(ADDRESS(MATCH(F387,Код_КВР,0)+1,2,,,"КВР")))</f>
        <v>Публичные нормативные социальные выплаты гражданам</v>
      </c>
      <c r="B387" s="26">
        <v>801</v>
      </c>
      <c r="C387" s="65" t="s">
        <v>53</v>
      </c>
      <c r="D387" s="65" t="s">
        <v>72</v>
      </c>
      <c r="E387" s="26" t="s">
        <v>324</v>
      </c>
      <c r="F387" s="26">
        <v>310</v>
      </c>
      <c r="G387" s="66">
        <v>348</v>
      </c>
      <c r="H387" s="66"/>
      <c r="I387" s="67">
        <f t="shared" si="72"/>
        <v>348</v>
      </c>
      <c r="J387" s="66"/>
      <c r="K387" s="67">
        <f t="shared" si="69"/>
        <v>348</v>
      </c>
      <c r="L387" s="66"/>
      <c r="M387" s="67">
        <f t="shared" si="70"/>
        <v>348</v>
      </c>
      <c r="N387" s="66"/>
      <c r="O387" s="67">
        <f t="shared" si="67"/>
        <v>348</v>
      </c>
    </row>
    <row r="388" spans="1:15" ht="33" x14ac:dyDescent="0.2">
      <c r="A388" s="64" t="str">
        <f ca="1">IF(ISERROR(MATCH(E388,Код_КЦСР,0)),"",INDIRECT(ADDRESS(MATCH(E388,Код_КЦСР,0)+1,2,,,"КЦСР")))</f>
        <v>Социальная поддержка пенсионеров на условиях договора пожизненного содержания с иждивением</v>
      </c>
      <c r="B388" s="26">
        <v>801</v>
      </c>
      <c r="C388" s="65" t="s">
        <v>53</v>
      </c>
      <c r="D388" s="65" t="s">
        <v>72</v>
      </c>
      <c r="E388" s="26" t="s">
        <v>325</v>
      </c>
      <c r="F388" s="26"/>
      <c r="G388" s="66">
        <f>G389+G391</f>
        <v>12342.800000000001</v>
      </c>
      <c r="H388" s="66">
        <f>H389+H391</f>
        <v>0</v>
      </c>
      <c r="I388" s="67">
        <f t="shared" si="72"/>
        <v>12342.800000000001</v>
      </c>
      <c r="J388" s="66">
        <f>J389+J391</f>
        <v>0</v>
      </c>
      <c r="K388" s="67">
        <f t="shared" si="69"/>
        <v>12342.800000000001</v>
      </c>
      <c r="L388" s="66">
        <f>L389+L391</f>
        <v>0</v>
      </c>
      <c r="M388" s="67">
        <f t="shared" si="70"/>
        <v>12342.800000000001</v>
      </c>
      <c r="N388" s="66">
        <f>N389+N391</f>
        <v>0</v>
      </c>
      <c r="O388" s="67">
        <f t="shared" si="67"/>
        <v>12342.800000000001</v>
      </c>
    </row>
    <row r="389" spans="1:15" ht="33" hidden="1" x14ac:dyDescent="0.2">
      <c r="A389" s="64" t="str">
        <f ca="1">IF(ISERROR(MATCH(F389,Код_КВР,0)),"",INDIRECT(ADDRESS(MATCH(F389,Код_КВР,0)+1,2,,,"КВР")))</f>
        <v>Закупка товаров, работ и услуг для обеспечения государственных (муниципальных) нужд</v>
      </c>
      <c r="B389" s="26">
        <v>801</v>
      </c>
      <c r="C389" s="65" t="s">
        <v>53</v>
      </c>
      <c r="D389" s="65" t="s">
        <v>72</v>
      </c>
      <c r="E389" s="26" t="s">
        <v>325</v>
      </c>
      <c r="F389" s="26">
        <v>200</v>
      </c>
      <c r="G389" s="66">
        <f>G390</f>
        <v>0</v>
      </c>
      <c r="H389" s="66">
        <f>H390</f>
        <v>0</v>
      </c>
      <c r="I389" s="67">
        <f t="shared" si="72"/>
        <v>0</v>
      </c>
      <c r="J389" s="66">
        <f>J390</f>
        <v>0</v>
      </c>
      <c r="K389" s="67">
        <f t="shared" si="69"/>
        <v>0</v>
      </c>
      <c r="L389" s="66">
        <f>L390</f>
        <v>0</v>
      </c>
      <c r="M389" s="67">
        <f t="shared" si="70"/>
        <v>0</v>
      </c>
      <c r="N389" s="66">
        <f>N390</f>
        <v>0</v>
      </c>
      <c r="O389" s="67">
        <f t="shared" si="67"/>
        <v>0</v>
      </c>
    </row>
    <row r="390" spans="1:15" ht="33" hidden="1" x14ac:dyDescent="0.2">
      <c r="A390" s="64" t="str">
        <f ca="1">IF(ISERROR(MATCH(F390,Код_КВР,0)),"",INDIRECT(ADDRESS(MATCH(F390,Код_КВР,0)+1,2,,,"КВР")))</f>
        <v>Иные закупки товаров, работ и услуг для обеспечения государственных (муниципальных) нужд</v>
      </c>
      <c r="B390" s="26">
        <v>801</v>
      </c>
      <c r="C390" s="65" t="s">
        <v>53</v>
      </c>
      <c r="D390" s="65" t="s">
        <v>72</v>
      </c>
      <c r="E390" s="26" t="s">
        <v>325</v>
      </c>
      <c r="F390" s="26">
        <v>240</v>
      </c>
      <c r="G390" s="66"/>
      <c r="H390" s="66"/>
      <c r="I390" s="67">
        <f t="shared" si="72"/>
        <v>0</v>
      </c>
      <c r="J390" s="66"/>
      <c r="K390" s="67">
        <f t="shared" si="69"/>
        <v>0</v>
      </c>
      <c r="L390" s="66"/>
      <c r="M390" s="67">
        <f t="shared" si="70"/>
        <v>0</v>
      </c>
      <c r="N390" s="66"/>
      <c r="O390" s="67">
        <f t="shared" si="67"/>
        <v>0</v>
      </c>
    </row>
    <row r="391" spans="1:15" x14ac:dyDescent="0.2">
      <c r="A391" s="64" t="str">
        <f ca="1">IF(ISERROR(MATCH(F391,Код_КВР,0)),"",INDIRECT(ADDRESS(MATCH(F391,Код_КВР,0)+1,2,,,"КВР")))</f>
        <v>Социальное обеспечение и иные выплаты населению</v>
      </c>
      <c r="B391" s="26">
        <v>801</v>
      </c>
      <c r="C391" s="65" t="s">
        <v>53</v>
      </c>
      <c r="D391" s="65" t="s">
        <v>72</v>
      </c>
      <c r="E391" s="26" t="s">
        <v>325</v>
      </c>
      <c r="F391" s="26">
        <v>300</v>
      </c>
      <c r="G391" s="66">
        <f>G392</f>
        <v>12342.800000000001</v>
      </c>
      <c r="H391" s="66">
        <f>H392</f>
        <v>0</v>
      </c>
      <c r="I391" s="67">
        <f t="shared" si="72"/>
        <v>12342.800000000001</v>
      </c>
      <c r="J391" s="66">
        <f>J392</f>
        <v>0</v>
      </c>
      <c r="K391" s="67">
        <f t="shared" si="69"/>
        <v>12342.800000000001</v>
      </c>
      <c r="L391" s="66">
        <f>L392</f>
        <v>0</v>
      </c>
      <c r="M391" s="67">
        <f t="shared" si="70"/>
        <v>12342.800000000001</v>
      </c>
      <c r="N391" s="66">
        <f>N392</f>
        <v>0</v>
      </c>
      <c r="O391" s="67">
        <f t="shared" si="67"/>
        <v>12342.800000000001</v>
      </c>
    </row>
    <row r="392" spans="1:15" ht="33" x14ac:dyDescent="0.2">
      <c r="A392" s="64" t="str">
        <f ca="1">IF(ISERROR(MATCH(F392,Код_КВР,0)),"",INDIRECT(ADDRESS(MATCH(F392,Код_КВР,0)+1,2,,,"КВР")))</f>
        <v>Социальные выплаты гражданам, кроме публичных нормативных социальных выплат</v>
      </c>
      <c r="B392" s="26">
        <v>801</v>
      </c>
      <c r="C392" s="65" t="s">
        <v>53</v>
      </c>
      <c r="D392" s="65" t="s">
        <v>72</v>
      </c>
      <c r="E392" s="26" t="s">
        <v>325</v>
      </c>
      <c r="F392" s="26">
        <v>320</v>
      </c>
      <c r="G392" s="66">
        <f>10892.7+1450.1</f>
        <v>12342.800000000001</v>
      </c>
      <c r="H392" s="66"/>
      <c r="I392" s="67">
        <f t="shared" si="72"/>
        <v>12342.800000000001</v>
      </c>
      <c r="J392" s="66"/>
      <c r="K392" s="67">
        <f t="shared" si="69"/>
        <v>12342.800000000001</v>
      </c>
      <c r="L392" s="66"/>
      <c r="M392" s="67">
        <f t="shared" si="70"/>
        <v>12342.800000000001</v>
      </c>
      <c r="N392" s="66"/>
      <c r="O392" s="67">
        <f t="shared" si="67"/>
        <v>12342.800000000001</v>
      </c>
    </row>
    <row r="393" spans="1:15" ht="33" x14ac:dyDescent="0.2">
      <c r="A393" s="64" t="str">
        <f ca="1">IF(ISERROR(MATCH(E393,Код_КЦСР,0)),"",INDIRECT(ADDRESS(MATCH(E393,Код_КЦСР,0)+1,2,,,"КЦСР")))</f>
        <v>Муниципальная программа «Обеспечение жильем отдельных категорий граждан» на 2014 – 2020 годы</v>
      </c>
      <c r="B393" s="26">
        <v>801</v>
      </c>
      <c r="C393" s="65" t="s">
        <v>53</v>
      </c>
      <c r="D393" s="65" t="s">
        <v>72</v>
      </c>
      <c r="E393" s="26" t="s">
        <v>327</v>
      </c>
      <c r="F393" s="26"/>
      <c r="G393" s="66">
        <f>G404+G418+G394</f>
        <v>19627.400000000001</v>
      </c>
      <c r="H393" s="66">
        <f>H404+H418+H394</f>
        <v>0</v>
      </c>
      <c r="I393" s="67">
        <f t="shared" si="72"/>
        <v>19627.400000000001</v>
      </c>
      <c r="J393" s="66">
        <f>J404+J418+J394</f>
        <v>-1910.2</v>
      </c>
      <c r="K393" s="67">
        <f t="shared" si="69"/>
        <v>17717.2</v>
      </c>
      <c r="L393" s="66">
        <f>L404+L418+L394</f>
        <v>1273.5</v>
      </c>
      <c r="M393" s="67">
        <f t="shared" si="70"/>
        <v>18990.7</v>
      </c>
      <c r="N393" s="66">
        <f>N404+N418+N394</f>
        <v>4938.6000000000004</v>
      </c>
      <c r="O393" s="67">
        <f t="shared" si="67"/>
        <v>23929.300000000003</v>
      </c>
    </row>
    <row r="394" spans="1:15" ht="49.5" x14ac:dyDescent="0.2">
      <c r="A394" s="64" t="str">
        <f ca="1">IF(ISERROR(MATCH(E394,Код_КЦСР,0)),"",INDIRECT(ADDRESS(MATCH(E394,Код_КЦСР,0)+1,2,,,"КЦСР")))</f>
        <v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v>
      </c>
      <c r="B394" s="26">
        <v>801</v>
      </c>
      <c r="C394" s="65" t="s">
        <v>53</v>
      </c>
      <c r="D394" s="65" t="s">
        <v>72</v>
      </c>
      <c r="E394" s="26" t="s">
        <v>470</v>
      </c>
      <c r="F394" s="26"/>
      <c r="G394" s="66">
        <f>G395+G398</f>
        <v>10188</v>
      </c>
      <c r="H394" s="66">
        <f>H395+H398</f>
        <v>0</v>
      </c>
      <c r="I394" s="67">
        <f t="shared" si="72"/>
        <v>10188</v>
      </c>
      <c r="J394" s="66">
        <f>J395+J398+J401</f>
        <v>-1910.2</v>
      </c>
      <c r="K394" s="67">
        <f t="shared" si="69"/>
        <v>8277.7999999999993</v>
      </c>
      <c r="L394" s="66">
        <f>L395+L398+L401</f>
        <v>1273.5</v>
      </c>
      <c r="M394" s="67">
        <f t="shared" si="70"/>
        <v>9551.2999999999993</v>
      </c>
      <c r="N394" s="66">
        <f>N395+N398+N401</f>
        <v>0</v>
      </c>
      <c r="O394" s="67">
        <f t="shared" si="67"/>
        <v>9551.2999999999993</v>
      </c>
    </row>
    <row r="395" spans="1:15" ht="99" x14ac:dyDescent="0.2">
      <c r="A395" s="64" t="str">
        <f ca="1">IF(ISERROR(MATCH(E395,Код_КЦСР,0)),"",INDIRECT(ADDRESS(MATCH(E395,Код_КЦСР,0)+1,2,,,"КЦСР")))</f>
        <v>Осуществление полномочий по обеспечению жильем отдельных категорий граждан, установленных Федеральным законом от   12 января 1995 года № 5-ФЗ «О ветеранах», в соответствии с Указом Президента Российской Федерации от 7 мая 2008 года  № 714 «Об обеспечении жильем ветеранов Великой Отечественной войны 1941 – 1945 годов», за счет средств федерального бюджета</v>
      </c>
      <c r="B395" s="26">
        <v>801</v>
      </c>
      <c r="C395" s="65" t="s">
        <v>53</v>
      </c>
      <c r="D395" s="65" t="s">
        <v>72</v>
      </c>
      <c r="E395" s="26" t="s">
        <v>472</v>
      </c>
      <c r="F395" s="26"/>
      <c r="G395" s="66">
        <f>G396</f>
        <v>0</v>
      </c>
      <c r="H395" s="66">
        <f>H396</f>
        <v>0</v>
      </c>
      <c r="I395" s="67">
        <f t="shared" si="72"/>
        <v>0</v>
      </c>
      <c r="J395" s="66">
        <f>J396</f>
        <v>0</v>
      </c>
      <c r="K395" s="67">
        <f t="shared" si="69"/>
        <v>0</v>
      </c>
      <c r="L395" s="66">
        <f>L396</f>
        <v>1273.5</v>
      </c>
      <c r="M395" s="67">
        <f t="shared" si="70"/>
        <v>1273.5</v>
      </c>
      <c r="N395" s="66">
        <f>N396</f>
        <v>0</v>
      </c>
      <c r="O395" s="67">
        <f t="shared" si="67"/>
        <v>1273.5</v>
      </c>
    </row>
    <row r="396" spans="1:15" ht="25.5" customHeight="1" x14ac:dyDescent="0.2">
      <c r="A396" s="64" t="str">
        <f ca="1">IF(ISERROR(MATCH(F396,Код_КВР,0)),"",INDIRECT(ADDRESS(MATCH(F396,Код_КВР,0)+1,2,,,"КВР")))</f>
        <v>Социальное обеспечение и иные выплаты населению</v>
      </c>
      <c r="B396" s="26">
        <v>801</v>
      </c>
      <c r="C396" s="65" t="s">
        <v>53</v>
      </c>
      <c r="D396" s="65" t="s">
        <v>72</v>
      </c>
      <c r="E396" s="26" t="s">
        <v>472</v>
      </c>
      <c r="F396" s="26">
        <v>300</v>
      </c>
      <c r="G396" s="66">
        <f>G397</f>
        <v>0</v>
      </c>
      <c r="H396" s="66">
        <f>H397</f>
        <v>0</v>
      </c>
      <c r="I396" s="67">
        <f t="shared" si="72"/>
        <v>0</v>
      </c>
      <c r="J396" s="66">
        <f>J397</f>
        <v>0</v>
      </c>
      <c r="K396" s="67">
        <f t="shared" si="69"/>
        <v>0</v>
      </c>
      <c r="L396" s="66">
        <f>L397</f>
        <v>1273.5</v>
      </c>
      <c r="M396" s="67">
        <f t="shared" si="70"/>
        <v>1273.5</v>
      </c>
      <c r="N396" s="66">
        <f>N397</f>
        <v>0</v>
      </c>
      <c r="O396" s="67">
        <f t="shared" si="67"/>
        <v>1273.5</v>
      </c>
    </row>
    <row r="397" spans="1:15" ht="33" x14ac:dyDescent="0.2">
      <c r="A397" s="64" t="str">
        <f ca="1">IF(ISERROR(MATCH(F397,Код_КВР,0)),"",INDIRECT(ADDRESS(MATCH(F397,Код_КВР,0)+1,2,,,"КВР")))</f>
        <v>Социальные выплаты гражданам, кроме публичных нормативных социальных выплат</v>
      </c>
      <c r="B397" s="26">
        <v>801</v>
      </c>
      <c r="C397" s="65" t="s">
        <v>53</v>
      </c>
      <c r="D397" s="65" t="s">
        <v>72</v>
      </c>
      <c r="E397" s="26" t="s">
        <v>472</v>
      </c>
      <c r="F397" s="26">
        <v>320</v>
      </c>
      <c r="G397" s="66"/>
      <c r="H397" s="66"/>
      <c r="I397" s="67">
        <f t="shared" si="72"/>
        <v>0</v>
      </c>
      <c r="J397" s="66"/>
      <c r="K397" s="67">
        <f t="shared" si="69"/>
        <v>0</v>
      </c>
      <c r="L397" s="66">
        <v>1273.5</v>
      </c>
      <c r="M397" s="67">
        <f t="shared" si="70"/>
        <v>1273.5</v>
      </c>
      <c r="N397" s="66"/>
      <c r="O397" s="67">
        <f t="shared" si="67"/>
        <v>1273.5</v>
      </c>
    </row>
    <row r="398" spans="1:15" ht="76.5" customHeight="1" x14ac:dyDescent="0.2">
      <c r="A398" s="64" t="str">
        <f ca="1">IF(ISERROR(MATCH(E398,Код_КЦСР,0)),"",INDIRECT(ADDRESS(MATCH(E398,Код_КЦСР,0)+1,2,,,"КЦСР")))</f>
        <v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за счет средств федерального бюджета</v>
      </c>
      <c r="B398" s="26">
        <v>801</v>
      </c>
      <c r="C398" s="65" t="s">
        <v>53</v>
      </c>
      <c r="D398" s="65" t="s">
        <v>72</v>
      </c>
      <c r="E398" s="26" t="s">
        <v>473</v>
      </c>
      <c r="F398" s="26"/>
      <c r="G398" s="66">
        <f>G399</f>
        <v>10188</v>
      </c>
      <c r="H398" s="66">
        <f>H399</f>
        <v>0</v>
      </c>
      <c r="I398" s="67">
        <f t="shared" si="72"/>
        <v>10188</v>
      </c>
      <c r="J398" s="66">
        <f>J399</f>
        <v>-3820.5</v>
      </c>
      <c r="K398" s="67">
        <f t="shared" si="69"/>
        <v>6367.5</v>
      </c>
      <c r="L398" s="66">
        <f>L399</f>
        <v>0</v>
      </c>
      <c r="M398" s="67">
        <f t="shared" si="70"/>
        <v>6367.5</v>
      </c>
      <c r="N398" s="66">
        <f>N399</f>
        <v>0</v>
      </c>
      <c r="O398" s="67">
        <f t="shared" si="67"/>
        <v>6367.5</v>
      </c>
    </row>
    <row r="399" spans="1:15" x14ac:dyDescent="0.2">
      <c r="A399" s="64" t="str">
        <f ca="1">IF(ISERROR(MATCH(F399,Код_КВР,0)),"",INDIRECT(ADDRESS(MATCH(F399,Код_КВР,0)+1,2,,,"КВР")))</f>
        <v>Социальное обеспечение и иные выплаты населению</v>
      </c>
      <c r="B399" s="26">
        <v>801</v>
      </c>
      <c r="C399" s="65" t="s">
        <v>53</v>
      </c>
      <c r="D399" s="65" t="s">
        <v>72</v>
      </c>
      <c r="E399" s="26" t="s">
        <v>473</v>
      </c>
      <c r="F399" s="26">
        <v>300</v>
      </c>
      <c r="G399" s="66">
        <f>G400</f>
        <v>10188</v>
      </c>
      <c r="H399" s="66">
        <f>H400</f>
        <v>0</v>
      </c>
      <c r="I399" s="67">
        <f t="shared" si="72"/>
        <v>10188</v>
      </c>
      <c r="J399" s="66">
        <f>J400</f>
        <v>-3820.5</v>
      </c>
      <c r="K399" s="67">
        <f t="shared" si="69"/>
        <v>6367.5</v>
      </c>
      <c r="L399" s="66">
        <f>L400</f>
        <v>0</v>
      </c>
      <c r="M399" s="67">
        <f t="shared" si="70"/>
        <v>6367.5</v>
      </c>
      <c r="N399" s="66">
        <f>N400</f>
        <v>0</v>
      </c>
      <c r="O399" s="67">
        <f t="shared" si="67"/>
        <v>6367.5</v>
      </c>
    </row>
    <row r="400" spans="1:15" ht="33" x14ac:dyDescent="0.2">
      <c r="A400" s="64" t="str">
        <f ca="1">IF(ISERROR(MATCH(F400,Код_КВР,0)),"",INDIRECT(ADDRESS(MATCH(F400,Код_КВР,0)+1,2,,,"КВР")))</f>
        <v>Социальные выплаты гражданам, кроме публичных нормативных социальных выплат</v>
      </c>
      <c r="B400" s="26">
        <v>801</v>
      </c>
      <c r="C400" s="65" t="s">
        <v>53</v>
      </c>
      <c r="D400" s="65" t="s">
        <v>72</v>
      </c>
      <c r="E400" s="26" t="s">
        <v>473</v>
      </c>
      <c r="F400" s="26">
        <v>320</v>
      </c>
      <c r="G400" s="66">
        <v>10188</v>
      </c>
      <c r="H400" s="66"/>
      <c r="I400" s="67">
        <f t="shared" si="72"/>
        <v>10188</v>
      </c>
      <c r="J400" s="66">
        <f>-10188+6367.5</f>
        <v>-3820.5</v>
      </c>
      <c r="K400" s="67">
        <f t="shared" si="69"/>
        <v>6367.5</v>
      </c>
      <c r="L400" s="66"/>
      <c r="M400" s="67">
        <f t="shared" si="70"/>
        <v>6367.5</v>
      </c>
      <c r="N400" s="66"/>
      <c r="O400" s="67">
        <f t="shared" si="67"/>
        <v>6367.5</v>
      </c>
    </row>
    <row r="401" spans="1:15" ht="80.25" customHeight="1" x14ac:dyDescent="0.2">
      <c r="A401" s="64" t="str">
        <f ca="1">IF(ISERROR(MATCH(E401,Код_КЦСР,0)),"",INDIRECT(ADDRESS(MATCH(E401,Код_КЦСР,0)+1,2,,,"КЦСР")))</f>
        <v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Федерации», за счет средств федерального бюджета</v>
      </c>
      <c r="B401" s="26">
        <v>801</v>
      </c>
      <c r="C401" s="65" t="s">
        <v>53</v>
      </c>
      <c r="D401" s="65" t="s">
        <v>72</v>
      </c>
      <c r="E401" s="26" t="s">
        <v>661</v>
      </c>
      <c r="F401" s="26"/>
      <c r="G401" s="66"/>
      <c r="H401" s="66"/>
      <c r="I401" s="67"/>
      <c r="J401" s="66">
        <f>J402</f>
        <v>1910.3</v>
      </c>
      <c r="K401" s="67">
        <f t="shared" si="69"/>
        <v>1910.3</v>
      </c>
      <c r="L401" s="66">
        <f>L402</f>
        <v>0</v>
      </c>
      <c r="M401" s="67">
        <f t="shared" si="70"/>
        <v>1910.3</v>
      </c>
      <c r="N401" s="66">
        <f>N402</f>
        <v>0</v>
      </c>
      <c r="O401" s="67">
        <f t="shared" si="67"/>
        <v>1910.3</v>
      </c>
    </row>
    <row r="402" spans="1:15" ht="29.25" customHeight="1" x14ac:dyDescent="0.2">
      <c r="A402" s="64" t="str">
        <f ca="1">IF(ISERROR(MATCH(F402,Код_КВР,0)),"",INDIRECT(ADDRESS(MATCH(F402,Код_КВР,0)+1,2,,,"КВР")))</f>
        <v>Социальное обеспечение и иные выплаты населению</v>
      </c>
      <c r="B402" s="26">
        <v>801</v>
      </c>
      <c r="C402" s="65" t="s">
        <v>53</v>
      </c>
      <c r="D402" s="65" t="s">
        <v>72</v>
      </c>
      <c r="E402" s="26" t="s">
        <v>661</v>
      </c>
      <c r="F402" s="26">
        <v>300</v>
      </c>
      <c r="G402" s="66"/>
      <c r="H402" s="66"/>
      <c r="I402" s="67"/>
      <c r="J402" s="66">
        <f>J403</f>
        <v>1910.3</v>
      </c>
      <c r="K402" s="67">
        <f t="shared" si="69"/>
        <v>1910.3</v>
      </c>
      <c r="L402" s="66">
        <f>L403</f>
        <v>0</v>
      </c>
      <c r="M402" s="67">
        <f t="shared" si="70"/>
        <v>1910.3</v>
      </c>
      <c r="N402" s="66">
        <f>N403</f>
        <v>0</v>
      </c>
      <c r="O402" s="67">
        <f t="shared" si="67"/>
        <v>1910.3</v>
      </c>
    </row>
    <row r="403" spans="1:15" ht="36.75" customHeight="1" x14ac:dyDescent="0.2">
      <c r="A403" s="64" t="str">
        <f ca="1">IF(ISERROR(MATCH(F403,Код_КВР,0)),"",INDIRECT(ADDRESS(MATCH(F403,Код_КВР,0)+1,2,,,"КВР")))</f>
        <v>Социальные выплаты гражданам, кроме публичных нормативных социальных выплат</v>
      </c>
      <c r="B403" s="26">
        <v>801</v>
      </c>
      <c r="C403" s="65" t="s">
        <v>53</v>
      </c>
      <c r="D403" s="65" t="s">
        <v>72</v>
      </c>
      <c r="E403" s="26" t="s">
        <v>661</v>
      </c>
      <c r="F403" s="26">
        <v>320</v>
      </c>
      <c r="G403" s="66"/>
      <c r="H403" s="66"/>
      <c r="I403" s="67"/>
      <c r="J403" s="66">
        <v>1910.3</v>
      </c>
      <c r="K403" s="67">
        <f t="shared" si="69"/>
        <v>1910.3</v>
      </c>
      <c r="L403" s="66"/>
      <c r="M403" s="67">
        <f t="shared" si="70"/>
        <v>1910.3</v>
      </c>
      <c r="N403" s="66"/>
      <c r="O403" s="67">
        <f t="shared" ref="O403:O466" si="79">M403+N403</f>
        <v>1910.3</v>
      </c>
    </row>
    <row r="404" spans="1:15" x14ac:dyDescent="0.2">
      <c r="A404" s="64" t="str">
        <f ca="1">IF(ISERROR(MATCH(E404,Код_КЦСР,0)),"",INDIRECT(ADDRESS(MATCH(E404,Код_КЦСР,0)+1,2,,,"КЦСР")))</f>
        <v>Обеспечение жильем молодых семей</v>
      </c>
      <c r="B404" s="26">
        <v>801</v>
      </c>
      <c r="C404" s="65" t="s">
        <v>53</v>
      </c>
      <c r="D404" s="65" t="s">
        <v>72</v>
      </c>
      <c r="E404" s="26" t="s">
        <v>329</v>
      </c>
      <c r="F404" s="26"/>
      <c r="G404" s="66">
        <f t="shared" ref="G404:N406" si="80">G405</f>
        <v>2101.3000000000002</v>
      </c>
      <c r="H404" s="66">
        <f t="shared" si="80"/>
        <v>0</v>
      </c>
      <c r="I404" s="67">
        <f t="shared" si="72"/>
        <v>2101.3000000000002</v>
      </c>
      <c r="J404" s="66">
        <f t="shared" si="80"/>
        <v>0</v>
      </c>
      <c r="K404" s="67">
        <f t="shared" si="69"/>
        <v>2101.3000000000002</v>
      </c>
      <c r="L404" s="66">
        <f t="shared" si="80"/>
        <v>0</v>
      </c>
      <c r="M404" s="67">
        <f t="shared" si="70"/>
        <v>2101.3000000000002</v>
      </c>
      <c r="N404" s="66">
        <f t="shared" si="80"/>
        <v>4938.6000000000004</v>
      </c>
      <c r="O404" s="67">
        <f t="shared" si="79"/>
        <v>7039.9000000000005</v>
      </c>
    </row>
    <row r="405" spans="1:15" ht="33" x14ac:dyDescent="0.2">
      <c r="A405" s="64" t="str">
        <f ca="1">IF(ISERROR(MATCH(E405,Код_КЦСР,0)),"",INDIRECT(ADDRESS(MATCH(E405,Код_КЦСР,0)+1,2,,,"КЦСР")))</f>
        <v>Предоставление социальных выплат на приобретение (строительство) жилья молодыми семьями</v>
      </c>
      <c r="B405" s="26">
        <v>801</v>
      </c>
      <c r="C405" s="65" t="s">
        <v>53</v>
      </c>
      <c r="D405" s="65" t="s">
        <v>72</v>
      </c>
      <c r="E405" s="26" t="s">
        <v>330</v>
      </c>
      <c r="F405" s="26"/>
      <c r="G405" s="66">
        <f>G406+G412</f>
        <v>2101.3000000000002</v>
      </c>
      <c r="H405" s="66">
        <f>H406+H412</f>
        <v>0</v>
      </c>
      <c r="I405" s="67">
        <f t="shared" si="72"/>
        <v>2101.3000000000002</v>
      </c>
      <c r="J405" s="66">
        <f>J406+J412</f>
        <v>0</v>
      </c>
      <c r="K405" s="67">
        <f t="shared" si="69"/>
        <v>2101.3000000000002</v>
      </c>
      <c r="L405" s="66">
        <f>L406+L412</f>
        <v>0</v>
      </c>
      <c r="M405" s="67">
        <f t="shared" si="70"/>
        <v>2101.3000000000002</v>
      </c>
      <c r="N405" s="66">
        <f>N406+N409+N415</f>
        <v>4938.6000000000004</v>
      </c>
      <c r="O405" s="67">
        <f t="shared" si="79"/>
        <v>7039.9000000000005</v>
      </c>
    </row>
    <row r="406" spans="1:15" ht="33" x14ac:dyDescent="0.2">
      <c r="A406" s="64" t="str">
        <f ca="1">IF(ISERROR(MATCH(E406,Код_КЦСР,0)),"",INDIRECT(ADDRESS(MATCH(E406,Код_КЦСР,0)+1,2,,,"КЦСР")))</f>
        <v xml:space="preserve">Социальные выплаты на приобретение (строительство) жилья молодым семьям, в рамках софинансирования </v>
      </c>
      <c r="B406" s="26">
        <v>801</v>
      </c>
      <c r="C406" s="65" t="s">
        <v>53</v>
      </c>
      <c r="D406" s="65" t="s">
        <v>72</v>
      </c>
      <c r="E406" s="26" t="s">
        <v>331</v>
      </c>
      <c r="F406" s="26"/>
      <c r="G406" s="66">
        <f t="shared" si="80"/>
        <v>2101.3000000000002</v>
      </c>
      <c r="H406" s="66">
        <f t="shared" si="80"/>
        <v>0</v>
      </c>
      <c r="I406" s="67">
        <f t="shared" si="72"/>
        <v>2101.3000000000002</v>
      </c>
      <c r="J406" s="66">
        <f t="shared" si="80"/>
        <v>0</v>
      </c>
      <c r="K406" s="67">
        <f t="shared" si="69"/>
        <v>2101.3000000000002</v>
      </c>
      <c r="L406" s="66">
        <f t="shared" si="80"/>
        <v>0</v>
      </c>
      <c r="M406" s="67">
        <f t="shared" si="70"/>
        <v>2101.3000000000002</v>
      </c>
      <c r="N406" s="66">
        <f t="shared" si="80"/>
        <v>-2101.3000000000002</v>
      </c>
      <c r="O406" s="67">
        <f t="shared" si="79"/>
        <v>0</v>
      </c>
    </row>
    <row r="407" spans="1:15" x14ac:dyDescent="0.2">
      <c r="A407" s="64" t="str">
        <f ca="1">IF(ISERROR(MATCH(F407,Код_КВР,0)),"",INDIRECT(ADDRESS(MATCH(F407,Код_КВР,0)+1,2,,,"КВР")))</f>
        <v>Социальное обеспечение и иные выплаты населению</v>
      </c>
      <c r="B407" s="26">
        <v>801</v>
      </c>
      <c r="C407" s="65" t="s">
        <v>53</v>
      </c>
      <c r="D407" s="65" t="s">
        <v>72</v>
      </c>
      <c r="E407" s="26" t="s">
        <v>331</v>
      </c>
      <c r="F407" s="26">
        <v>300</v>
      </c>
      <c r="G407" s="66">
        <f t="shared" ref="G407:N407" si="81">G408</f>
        <v>2101.3000000000002</v>
      </c>
      <c r="H407" s="66">
        <f t="shared" si="81"/>
        <v>0</v>
      </c>
      <c r="I407" s="67">
        <f t="shared" si="72"/>
        <v>2101.3000000000002</v>
      </c>
      <c r="J407" s="66">
        <f t="shared" si="81"/>
        <v>0</v>
      </c>
      <c r="K407" s="67">
        <f t="shared" si="69"/>
        <v>2101.3000000000002</v>
      </c>
      <c r="L407" s="66">
        <f t="shared" si="81"/>
        <v>0</v>
      </c>
      <c r="M407" s="67">
        <f t="shared" si="70"/>
        <v>2101.3000000000002</v>
      </c>
      <c r="N407" s="66">
        <f t="shared" si="81"/>
        <v>-2101.3000000000002</v>
      </c>
      <c r="O407" s="67">
        <f t="shared" si="79"/>
        <v>0</v>
      </c>
    </row>
    <row r="408" spans="1:15" ht="33" x14ac:dyDescent="0.2">
      <c r="A408" s="64" t="str">
        <f ca="1">IF(ISERROR(MATCH(F408,Код_КВР,0)),"",INDIRECT(ADDRESS(MATCH(F408,Код_КВР,0)+1,2,,,"КВР")))</f>
        <v>Социальные выплаты гражданам, кроме публичных нормативных социальных выплат</v>
      </c>
      <c r="B408" s="26">
        <v>801</v>
      </c>
      <c r="C408" s="65" t="s">
        <v>53</v>
      </c>
      <c r="D408" s="65" t="s">
        <v>72</v>
      </c>
      <c r="E408" s="26" t="s">
        <v>331</v>
      </c>
      <c r="F408" s="26">
        <v>320</v>
      </c>
      <c r="G408" s="66">
        <v>2101.3000000000002</v>
      </c>
      <c r="H408" s="66"/>
      <c r="I408" s="67">
        <f t="shared" si="72"/>
        <v>2101.3000000000002</v>
      </c>
      <c r="J408" s="66"/>
      <c r="K408" s="67">
        <f t="shared" si="69"/>
        <v>2101.3000000000002</v>
      </c>
      <c r="L408" s="66"/>
      <c r="M408" s="67">
        <f t="shared" si="70"/>
        <v>2101.3000000000002</v>
      </c>
      <c r="N408" s="66">
        <v>-2101.3000000000002</v>
      </c>
      <c r="O408" s="67">
        <f t="shared" si="79"/>
        <v>0</v>
      </c>
    </row>
    <row r="409" spans="1:15" ht="33" x14ac:dyDescent="0.2">
      <c r="A409" s="64" t="str">
        <f ca="1">IF(ISERROR(MATCH(E409,Код_КЦСР,0)),"",INDIRECT(ADDRESS(MATCH(E409,Код_КЦСР,0)+1,2,,,"КЦСР")))</f>
        <v>Социальные выплаты на приобретение (строительство) жилья молодым семьям, в рамках софинансирования</v>
      </c>
      <c r="B409" s="26">
        <v>801</v>
      </c>
      <c r="C409" s="65" t="s">
        <v>53</v>
      </c>
      <c r="D409" s="65" t="s">
        <v>72</v>
      </c>
      <c r="E409" s="26" t="s">
        <v>724</v>
      </c>
      <c r="F409" s="26"/>
      <c r="G409" s="66"/>
      <c r="H409" s="66"/>
      <c r="I409" s="67"/>
      <c r="J409" s="66"/>
      <c r="K409" s="67"/>
      <c r="L409" s="66"/>
      <c r="M409" s="67"/>
      <c r="N409" s="66">
        <f>N410</f>
        <v>2101.3000000000002</v>
      </c>
      <c r="O409" s="67">
        <f t="shared" si="79"/>
        <v>2101.3000000000002</v>
      </c>
    </row>
    <row r="410" spans="1:15" x14ac:dyDescent="0.2">
      <c r="A410" s="64" t="str">
        <f ca="1">IF(ISERROR(MATCH(F410,Код_КВР,0)),"",INDIRECT(ADDRESS(MATCH(F410,Код_КВР,0)+1,2,,,"КВР")))</f>
        <v>Социальное обеспечение и иные выплаты населению</v>
      </c>
      <c r="B410" s="26">
        <v>801</v>
      </c>
      <c r="C410" s="65" t="s">
        <v>53</v>
      </c>
      <c r="D410" s="65" t="s">
        <v>72</v>
      </c>
      <c r="E410" s="26" t="s">
        <v>724</v>
      </c>
      <c r="F410" s="26">
        <v>300</v>
      </c>
      <c r="G410" s="66"/>
      <c r="H410" s="66"/>
      <c r="I410" s="67"/>
      <c r="J410" s="66"/>
      <c r="K410" s="67"/>
      <c r="L410" s="66"/>
      <c r="M410" s="67"/>
      <c r="N410" s="66">
        <f>N411</f>
        <v>2101.3000000000002</v>
      </c>
      <c r="O410" s="67">
        <f t="shared" si="79"/>
        <v>2101.3000000000002</v>
      </c>
    </row>
    <row r="411" spans="1:15" ht="33" x14ac:dyDescent="0.2">
      <c r="A411" s="64" t="str">
        <f ca="1">IF(ISERROR(MATCH(F411,Код_КВР,0)),"",INDIRECT(ADDRESS(MATCH(F411,Код_КВР,0)+1,2,,,"КВР")))</f>
        <v>Социальные выплаты гражданам, кроме публичных нормативных социальных выплат</v>
      </c>
      <c r="B411" s="26">
        <v>801</v>
      </c>
      <c r="C411" s="65" t="s">
        <v>53</v>
      </c>
      <c r="D411" s="65" t="s">
        <v>72</v>
      </c>
      <c r="E411" s="26" t="s">
        <v>724</v>
      </c>
      <c r="F411" s="26">
        <v>320</v>
      </c>
      <c r="G411" s="66"/>
      <c r="H411" s="66"/>
      <c r="I411" s="67"/>
      <c r="J411" s="66"/>
      <c r="K411" s="67"/>
      <c r="L411" s="66"/>
      <c r="M411" s="67"/>
      <c r="N411" s="66">
        <v>2101.3000000000002</v>
      </c>
      <c r="O411" s="67">
        <f t="shared" si="79"/>
        <v>2101.3000000000002</v>
      </c>
    </row>
    <row r="412" spans="1:15" ht="115.5" hidden="1" x14ac:dyDescent="0.2">
      <c r="A412" s="64" t="str">
        <f ca="1">IF(ISERROR(MATCH(E412,Код_КЦСР,0)),"",INDIRECT(ADDRESS(MATCH(E412,Код_КЦСР,0)+1,2,,,"КЦСР")))</f>
        <v>Предоставление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годы», за счет средств вышестоящих бюджетов</v>
      </c>
      <c r="B412" s="26">
        <v>801</v>
      </c>
      <c r="C412" s="65" t="s">
        <v>53</v>
      </c>
      <c r="D412" s="65" t="s">
        <v>72</v>
      </c>
      <c r="E412" s="26" t="s">
        <v>531</v>
      </c>
      <c r="F412" s="26"/>
      <c r="G412" s="66">
        <f>G413</f>
        <v>0</v>
      </c>
      <c r="H412" s="66">
        <f>H413</f>
        <v>0</v>
      </c>
      <c r="I412" s="67">
        <f t="shared" si="72"/>
        <v>0</v>
      </c>
      <c r="J412" s="66">
        <f>J413</f>
        <v>0</v>
      </c>
      <c r="K412" s="67">
        <f t="shared" si="69"/>
        <v>0</v>
      </c>
      <c r="L412" s="66">
        <f>L413</f>
        <v>0</v>
      </c>
      <c r="M412" s="67">
        <f t="shared" si="70"/>
        <v>0</v>
      </c>
      <c r="N412" s="66">
        <f>N413</f>
        <v>0</v>
      </c>
      <c r="O412" s="67">
        <f t="shared" si="79"/>
        <v>0</v>
      </c>
    </row>
    <row r="413" spans="1:15" hidden="1" x14ac:dyDescent="0.2">
      <c r="A413" s="64" t="str">
        <f ca="1">IF(ISERROR(MATCH(F413,Код_КВР,0)),"",INDIRECT(ADDRESS(MATCH(F413,Код_КВР,0)+1,2,,,"КВР")))</f>
        <v>Социальное обеспечение и иные выплаты населению</v>
      </c>
      <c r="B413" s="26">
        <v>801</v>
      </c>
      <c r="C413" s="65" t="s">
        <v>53</v>
      </c>
      <c r="D413" s="65" t="s">
        <v>72</v>
      </c>
      <c r="E413" s="26" t="s">
        <v>531</v>
      </c>
      <c r="F413" s="26">
        <v>300</v>
      </c>
      <c r="G413" s="66">
        <f>G414</f>
        <v>0</v>
      </c>
      <c r="H413" s="66">
        <f>H414</f>
        <v>0</v>
      </c>
      <c r="I413" s="67">
        <f t="shared" si="72"/>
        <v>0</v>
      </c>
      <c r="J413" s="66">
        <f>J414</f>
        <v>0</v>
      </c>
      <c r="K413" s="67">
        <f t="shared" si="69"/>
        <v>0</v>
      </c>
      <c r="L413" s="66">
        <f>L414</f>
        <v>0</v>
      </c>
      <c r="M413" s="67">
        <f t="shared" si="70"/>
        <v>0</v>
      </c>
      <c r="N413" s="66">
        <f>N414</f>
        <v>0</v>
      </c>
      <c r="O413" s="67">
        <f t="shared" si="79"/>
        <v>0</v>
      </c>
    </row>
    <row r="414" spans="1:15" ht="33" hidden="1" x14ac:dyDescent="0.2">
      <c r="A414" s="64" t="str">
        <f ca="1">IF(ISERROR(MATCH(F414,Код_КВР,0)),"",INDIRECT(ADDRESS(MATCH(F414,Код_КВР,0)+1,2,,,"КВР")))</f>
        <v>Социальные выплаты гражданам, кроме публичных нормативных социальных выплат</v>
      </c>
      <c r="B414" s="26">
        <v>801</v>
      </c>
      <c r="C414" s="65" t="s">
        <v>53</v>
      </c>
      <c r="D414" s="65" t="s">
        <v>72</v>
      </c>
      <c r="E414" s="26" t="s">
        <v>531</v>
      </c>
      <c r="F414" s="26">
        <v>320</v>
      </c>
      <c r="G414" s="66"/>
      <c r="H414" s="66"/>
      <c r="I414" s="67">
        <f t="shared" si="72"/>
        <v>0</v>
      </c>
      <c r="J414" s="66"/>
      <c r="K414" s="67">
        <f t="shared" si="69"/>
        <v>0</v>
      </c>
      <c r="L414" s="66"/>
      <c r="M414" s="67">
        <f t="shared" si="70"/>
        <v>0</v>
      </c>
      <c r="N414" s="66"/>
      <c r="O414" s="67">
        <f t="shared" si="79"/>
        <v>0</v>
      </c>
    </row>
    <row r="415" spans="1:15" ht="98.25" customHeight="1" x14ac:dyDescent="0.2">
      <c r="A415" s="64" t="str">
        <f ca="1">IF(ISERROR(MATCH(E415,Код_КЦСР,0)),"",INDIRECT(ADDRESS(MATCH(E415,Код_КЦСР,0)+1,2,,,"КЦСР")))</f>
        <v>Предоставление социальных выплат молодым семьям-участникам подпрограммы «Обеспечение жильем молодых семей» государственной программы Российской Федерации "Обеспечение доступным и комфортным жильем и коммунальными услугами граждан Российской Федерации", за счет средств вышестоящих бюджето</v>
      </c>
      <c r="B415" s="26">
        <v>801</v>
      </c>
      <c r="C415" s="65" t="s">
        <v>53</v>
      </c>
      <c r="D415" s="65" t="s">
        <v>72</v>
      </c>
      <c r="E415" s="26" t="s">
        <v>708</v>
      </c>
      <c r="F415" s="26"/>
      <c r="G415" s="66"/>
      <c r="H415" s="66"/>
      <c r="I415" s="67"/>
      <c r="J415" s="66"/>
      <c r="K415" s="67"/>
      <c r="L415" s="66"/>
      <c r="M415" s="67"/>
      <c r="N415" s="66">
        <f>N416</f>
        <v>4938.6000000000004</v>
      </c>
      <c r="O415" s="67">
        <f t="shared" si="79"/>
        <v>4938.6000000000004</v>
      </c>
    </row>
    <row r="416" spans="1:15" x14ac:dyDescent="0.2">
      <c r="A416" s="64" t="str">
        <f ca="1">IF(ISERROR(MATCH(F416,Код_КВР,0)),"",INDIRECT(ADDRESS(MATCH(F416,Код_КВР,0)+1,2,,,"КВР")))</f>
        <v>Социальное обеспечение и иные выплаты населению</v>
      </c>
      <c r="B416" s="26">
        <v>801</v>
      </c>
      <c r="C416" s="65" t="s">
        <v>53</v>
      </c>
      <c r="D416" s="65" t="s">
        <v>72</v>
      </c>
      <c r="E416" s="26" t="s">
        <v>708</v>
      </c>
      <c r="F416" s="26">
        <v>300</v>
      </c>
      <c r="G416" s="66"/>
      <c r="H416" s="66"/>
      <c r="I416" s="67"/>
      <c r="J416" s="66"/>
      <c r="K416" s="67"/>
      <c r="L416" s="66"/>
      <c r="M416" s="67"/>
      <c r="N416" s="66">
        <f>N417</f>
        <v>4938.6000000000004</v>
      </c>
      <c r="O416" s="67">
        <f t="shared" si="79"/>
        <v>4938.6000000000004</v>
      </c>
    </row>
    <row r="417" spans="1:15" ht="33" x14ac:dyDescent="0.2">
      <c r="A417" s="64" t="str">
        <f ca="1">IF(ISERROR(MATCH(F417,Код_КВР,0)),"",INDIRECT(ADDRESS(MATCH(F417,Код_КВР,0)+1,2,,,"КВР")))</f>
        <v>Социальные выплаты гражданам, кроме публичных нормативных социальных выплат</v>
      </c>
      <c r="B417" s="26">
        <v>801</v>
      </c>
      <c r="C417" s="65" t="s">
        <v>53</v>
      </c>
      <c r="D417" s="65" t="s">
        <v>72</v>
      </c>
      <c r="E417" s="26" t="s">
        <v>708</v>
      </c>
      <c r="F417" s="26">
        <v>320</v>
      </c>
      <c r="G417" s="66"/>
      <c r="H417" s="66"/>
      <c r="I417" s="67"/>
      <c r="J417" s="66"/>
      <c r="K417" s="67"/>
      <c r="L417" s="66"/>
      <c r="M417" s="67"/>
      <c r="N417" s="66">
        <f>1698.9+3239.7</f>
        <v>4938.6000000000004</v>
      </c>
      <c r="O417" s="67">
        <f t="shared" si="79"/>
        <v>4938.6000000000004</v>
      </c>
    </row>
    <row r="418" spans="1:15" ht="33" x14ac:dyDescent="0.2">
      <c r="A418" s="64" t="str">
        <f ca="1">IF(ISERROR(MATCH(E418,Код_КЦСР,0)),"",INDIRECT(ADDRESS(MATCH(E418,Код_КЦСР,0)+1,2,,,"КЦСР")))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418" s="26">
        <v>801</v>
      </c>
      <c r="C418" s="65" t="s">
        <v>53</v>
      </c>
      <c r="D418" s="65" t="s">
        <v>72</v>
      </c>
      <c r="E418" s="26" t="s">
        <v>332</v>
      </c>
      <c r="F418" s="26"/>
      <c r="G418" s="66">
        <f>G419</f>
        <v>7338.1</v>
      </c>
      <c r="H418" s="66">
        <f>H419</f>
        <v>0</v>
      </c>
      <c r="I418" s="67">
        <f t="shared" si="72"/>
        <v>7338.1</v>
      </c>
      <c r="J418" s="66">
        <f>J419</f>
        <v>0</v>
      </c>
      <c r="K418" s="67">
        <f t="shared" si="69"/>
        <v>7338.1</v>
      </c>
      <c r="L418" s="66">
        <f>L419</f>
        <v>0</v>
      </c>
      <c r="M418" s="67">
        <f t="shared" si="70"/>
        <v>7338.1</v>
      </c>
      <c r="N418" s="66">
        <f>N419</f>
        <v>0</v>
      </c>
      <c r="O418" s="67">
        <f t="shared" si="79"/>
        <v>7338.1</v>
      </c>
    </row>
    <row r="419" spans="1:15" ht="33" x14ac:dyDescent="0.2">
      <c r="A419" s="64" t="str">
        <f ca="1">IF(ISERROR(MATCH(E419,Код_КЦСР,0)),"",INDIRECT(ADDRESS(MATCH(E419,Код_КЦСР,0)+1,2,,,"КЦСР")))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419" s="26">
        <v>801</v>
      </c>
      <c r="C419" s="65" t="s">
        <v>53</v>
      </c>
      <c r="D419" s="65" t="s">
        <v>72</v>
      </c>
      <c r="E419" s="26" t="s">
        <v>333</v>
      </c>
      <c r="F419" s="26"/>
      <c r="G419" s="66">
        <f t="shared" ref="G419:N420" si="82">G420</f>
        <v>7338.1</v>
      </c>
      <c r="H419" s="66">
        <f t="shared" si="82"/>
        <v>0</v>
      </c>
      <c r="I419" s="67">
        <f t="shared" si="72"/>
        <v>7338.1</v>
      </c>
      <c r="J419" s="66">
        <f t="shared" si="82"/>
        <v>0</v>
      </c>
      <c r="K419" s="67">
        <f t="shared" si="69"/>
        <v>7338.1</v>
      </c>
      <c r="L419" s="66">
        <f t="shared" si="82"/>
        <v>0</v>
      </c>
      <c r="M419" s="67">
        <f t="shared" si="70"/>
        <v>7338.1</v>
      </c>
      <c r="N419" s="66">
        <f t="shared" si="82"/>
        <v>0</v>
      </c>
      <c r="O419" s="67">
        <f t="shared" si="79"/>
        <v>7338.1</v>
      </c>
    </row>
    <row r="420" spans="1:15" x14ac:dyDescent="0.2">
      <c r="A420" s="64" t="str">
        <f ca="1">IF(ISERROR(MATCH(F420,Код_КВР,0)),"",INDIRECT(ADDRESS(MATCH(F420,Код_КВР,0)+1,2,,,"КВР")))</f>
        <v>Социальное обеспечение и иные выплаты населению</v>
      </c>
      <c r="B420" s="26">
        <v>801</v>
      </c>
      <c r="C420" s="65" t="s">
        <v>53</v>
      </c>
      <c r="D420" s="65" t="s">
        <v>72</v>
      </c>
      <c r="E420" s="26" t="s">
        <v>333</v>
      </c>
      <c r="F420" s="26">
        <v>300</v>
      </c>
      <c r="G420" s="66">
        <f t="shared" si="82"/>
        <v>7338.1</v>
      </c>
      <c r="H420" s="66">
        <f t="shared" si="82"/>
        <v>0</v>
      </c>
      <c r="I420" s="67">
        <f t="shared" si="72"/>
        <v>7338.1</v>
      </c>
      <c r="J420" s="66">
        <f t="shared" si="82"/>
        <v>0</v>
      </c>
      <c r="K420" s="67">
        <f t="shared" si="69"/>
        <v>7338.1</v>
      </c>
      <c r="L420" s="66">
        <f t="shared" si="82"/>
        <v>0</v>
      </c>
      <c r="M420" s="67">
        <f t="shared" si="70"/>
        <v>7338.1</v>
      </c>
      <c r="N420" s="66">
        <f t="shared" si="82"/>
        <v>0</v>
      </c>
      <c r="O420" s="67">
        <f t="shared" si="79"/>
        <v>7338.1</v>
      </c>
    </row>
    <row r="421" spans="1:15" ht="33" x14ac:dyDescent="0.2">
      <c r="A421" s="64" t="str">
        <f ca="1">IF(ISERROR(MATCH(F421,Код_КВР,0)),"",INDIRECT(ADDRESS(MATCH(F421,Код_КВР,0)+1,2,,,"КВР")))</f>
        <v>Социальные выплаты гражданам, кроме публичных нормативных социальных выплат</v>
      </c>
      <c r="B421" s="26">
        <v>801</v>
      </c>
      <c r="C421" s="65" t="s">
        <v>53</v>
      </c>
      <c r="D421" s="65" t="s">
        <v>72</v>
      </c>
      <c r="E421" s="26" t="s">
        <v>333</v>
      </c>
      <c r="F421" s="26">
        <v>320</v>
      </c>
      <c r="G421" s="66">
        <v>7338.1</v>
      </c>
      <c r="H421" s="66"/>
      <c r="I421" s="67">
        <f t="shared" si="72"/>
        <v>7338.1</v>
      </c>
      <c r="J421" s="66"/>
      <c r="K421" s="67">
        <f t="shared" si="69"/>
        <v>7338.1</v>
      </c>
      <c r="L421" s="66"/>
      <c r="M421" s="67">
        <f t="shared" si="70"/>
        <v>7338.1</v>
      </c>
      <c r="N421" s="66"/>
      <c r="O421" s="67">
        <f t="shared" si="79"/>
        <v>7338.1</v>
      </c>
    </row>
    <row r="422" spans="1:15" ht="33" x14ac:dyDescent="0.2">
      <c r="A422" s="64" t="str">
        <f ca="1">IF(ISERROR(MATCH(E422,Код_КЦСР,0)),"",INDIRECT(ADDRESS(MATCH(E422,Код_КЦСР,0)+1,2,,,"КЦСР")))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422" s="26">
        <v>801</v>
      </c>
      <c r="C422" s="65" t="s">
        <v>53</v>
      </c>
      <c r="D422" s="65" t="s">
        <v>72</v>
      </c>
      <c r="E422" s="26" t="s">
        <v>395</v>
      </c>
      <c r="F422" s="26"/>
      <c r="G422" s="66">
        <f t="shared" ref="G422:N424" si="83">G423</f>
        <v>186</v>
      </c>
      <c r="H422" s="66">
        <f t="shared" si="83"/>
        <v>0</v>
      </c>
      <c r="I422" s="67">
        <f t="shared" si="72"/>
        <v>186</v>
      </c>
      <c r="J422" s="66">
        <f t="shared" si="83"/>
        <v>0</v>
      </c>
      <c r="K422" s="67">
        <f t="shared" ref="K422:K485" si="84">I422+J422</f>
        <v>186</v>
      </c>
      <c r="L422" s="66">
        <f t="shared" si="83"/>
        <v>0</v>
      </c>
      <c r="M422" s="67">
        <f t="shared" ref="M422:M485" si="85">K422+L422</f>
        <v>186</v>
      </c>
      <c r="N422" s="66">
        <f t="shared" si="83"/>
        <v>0</v>
      </c>
      <c r="O422" s="67">
        <f t="shared" si="79"/>
        <v>186</v>
      </c>
    </row>
    <row r="423" spans="1:15" x14ac:dyDescent="0.2">
      <c r="A423" s="64" t="str">
        <f ca="1">IF(ISERROR(MATCH(E423,Код_КЦСР,0)),"",INDIRECT(ADDRESS(MATCH(E423,Код_КЦСР,0)+1,2,,,"КЦСР")))</f>
        <v>Профилактика преступлений и иных правонарушений в городе Череповце</v>
      </c>
      <c r="B423" s="26">
        <v>801</v>
      </c>
      <c r="C423" s="65" t="s">
        <v>53</v>
      </c>
      <c r="D423" s="65" t="s">
        <v>72</v>
      </c>
      <c r="E423" s="26" t="s">
        <v>397</v>
      </c>
      <c r="F423" s="26"/>
      <c r="G423" s="66">
        <f t="shared" si="83"/>
        <v>186</v>
      </c>
      <c r="H423" s="66">
        <f t="shared" si="83"/>
        <v>0</v>
      </c>
      <c r="I423" s="67">
        <f t="shared" si="72"/>
        <v>186</v>
      </c>
      <c r="J423" s="66">
        <f t="shared" si="83"/>
        <v>0</v>
      </c>
      <c r="K423" s="67">
        <f t="shared" si="84"/>
        <v>186</v>
      </c>
      <c r="L423" s="66">
        <f t="shared" si="83"/>
        <v>0</v>
      </c>
      <c r="M423" s="67">
        <f t="shared" si="85"/>
        <v>186</v>
      </c>
      <c r="N423" s="66">
        <f t="shared" si="83"/>
        <v>0</v>
      </c>
      <c r="O423" s="67">
        <f t="shared" si="79"/>
        <v>186</v>
      </c>
    </row>
    <row r="424" spans="1:15" x14ac:dyDescent="0.2">
      <c r="A424" s="64" t="str">
        <f ca="1">IF(ISERROR(MATCH(E424,Код_КЦСР,0)),"",INDIRECT(ADDRESS(MATCH(E424,Код_КЦСР,0)+1,2,,,"КЦСР")))</f>
        <v>Привлечение общественности к охране общественного порядка</v>
      </c>
      <c r="B424" s="26">
        <v>801</v>
      </c>
      <c r="C424" s="65" t="s">
        <v>53</v>
      </c>
      <c r="D424" s="65" t="s">
        <v>72</v>
      </c>
      <c r="E424" s="26" t="s">
        <v>398</v>
      </c>
      <c r="F424" s="26"/>
      <c r="G424" s="66">
        <f t="shared" si="83"/>
        <v>186</v>
      </c>
      <c r="H424" s="66">
        <f t="shared" si="83"/>
        <v>0</v>
      </c>
      <c r="I424" s="67">
        <f t="shared" si="72"/>
        <v>186</v>
      </c>
      <c r="J424" s="66">
        <f t="shared" si="83"/>
        <v>0</v>
      </c>
      <c r="K424" s="67">
        <f t="shared" si="84"/>
        <v>186</v>
      </c>
      <c r="L424" s="66">
        <f t="shared" si="83"/>
        <v>0</v>
      </c>
      <c r="M424" s="67">
        <f t="shared" si="85"/>
        <v>186</v>
      </c>
      <c r="N424" s="66">
        <f t="shared" si="83"/>
        <v>0</v>
      </c>
      <c r="O424" s="67">
        <f t="shared" si="79"/>
        <v>186</v>
      </c>
    </row>
    <row r="425" spans="1:15" x14ac:dyDescent="0.2">
      <c r="A425" s="64" t="str">
        <f ca="1">IF(ISERROR(MATCH(F425,Код_КВР,0)),"",INDIRECT(ADDRESS(MATCH(F425,Код_КВР,0)+1,2,,,"КВР")))</f>
        <v>Социальное обеспечение и иные выплаты населению</v>
      </c>
      <c r="B425" s="26">
        <v>801</v>
      </c>
      <c r="C425" s="65" t="s">
        <v>53</v>
      </c>
      <c r="D425" s="65" t="s">
        <v>72</v>
      </c>
      <c r="E425" s="26" t="s">
        <v>398</v>
      </c>
      <c r="F425" s="26">
        <v>300</v>
      </c>
      <c r="G425" s="66">
        <f>G426</f>
        <v>186</v>
      </c>
      <c r="H425" s="66">
        <f>H426</f>
        <v>0</v>
      </c>
      <c r="I425" s="67">
        <f t="shared" si="72"/>
        <v>186</v>
      </c>
      <c r="J425" s="66">
        <f>J426</f>
        <v>0</v>
      </c>
      <c r="K425" s="67">
        <f t="shared" si="84"/>
        <v>186</v>
      </c>
      <c r="L425" s="66">
        <f>L426</f>
        <v>0</v>
      </c>
      <c r="M425" s="67">
        <f t="shared" si="85"/>
        <v>186</v>
      </c>
      <c r="N425" s="66">
        <f>N426</f>
        <v>0</v>
      </c>
      <c r="O425" s="67">
        <f t="shared" si="79"/>
        <v>186</v>
      </c>
    </row>
    <row r="426" spans="1:15" x14ac:dyDescent="0.2">
      <c r="A426" s="64" t="str">
        <f ca="1">IF(ISERROR(MATCH(F426,Код_КВР,0)),"",INDIRECT(ADDRESS(MATCH(F426,Код_КВР,0)+1,2,,,"КВР")))</f>
        <v>Иные выплаты населению</v>
      </c>
      <c r="B426" s="26">
        <v>801</v>
      </c>
      <c r="C426" s="65" t="s">
        <v>53</v>
      </c>
      <c r="D426" s="65" t="s">
        <v>72</v>
      </c>
      <c r="E426" s="26" t="s">
        <v>398</v>
      </c>
      <c r="F426" s="26">
        <v>360</v>
      </c>
      <c r="G426" s="67">
        <v>186</v>
      </c>
      <c r="H426" s="67"/>
      <c r="I426" s="67">
        <f t="shared" si="72"/>
        <v>186</v>
      </c>
      <c r="J426" s="67"/>
      <c r="K426" s="67">
        <f t="shared" si="84"/>
        <v>186</v>
      </c>
      <c r="L426" s="67"/>
      <c r="M426" s="67">
        <f t="shared" si="85"/>
        <v>186</v>
      </c>
      <c r="N426" s="67"/>
      <c r="O426" s="67">
        <f t="shared" si="79"/>
        <v>186</v>
      </c>
    </row>
    <row r="427" spans="1:15" x14ac:dyDescent="0.2">
      <c r="A427" s="64" t="s">
        <v>66</v>
      </c>
      <c r="B427" s="26">
        <v>801</v>
      </c>
      <c r="C427" s="65" t="s">
        <v>53</v>
      </c>
      <c r="D427" s="65" t="s">
        <v>73</v>
      </c>
      <c r="E427" s="26"/>
      <c r="F427" s="26"/>
      <c r="G427" s="67">
        <f t="shared" ref="G427:N430" si="86">G428</f>
        <v>962.5</v>
      </c>
      <c r="H427" s="67">
        <f t="shared" si="86"/>
        <v>0</v>
      </c>
      <c r="I427" s="67">
        <f t="shared" si="72"/>
        <v>962.5</v>
      </c>
      <c r="J427" s="67">
        <f t="shared" si="86"/>
        <v>0</v>
      </c>
      <c r="K427" s="67">
        <f t="shared" si="84"/>
        <v>962.5</v>
      </c>
      <c r="L427" s="67">
        <f t="shared" si="86"/>
        <v>0</v>
      </c>
      <c r="M427" s="67">
        <f t="shared" si="85"/>
        <v>962.5</v>
      </c>
      <c r="N427" s="67">
        <f t="shared" si="86"/>
        <v>0</v>
      </c>
      <c r="O427" s="67">
        <f t="shared" si="79"/>
        <v>962.5</v>
      </c>
    </row>
    <row r="428" spans="1:15" ht="33" x14ac:dyDescent="0.2">
      <c r="A428" s="64" t="str">
        <f ca="1">IF(ISERROR(MATCH(E428,Код_КЦСР,0)),"",INDIRECT(ADDRESS(MATCH(E428,Код_КЦСР,0)+1,2,,,"КЦСР")))</f>
        <v>Муниципальная программа «Социальная поддержка граждан» на 2014 – 2022 годы</v>
      </c>
      <c r="B428" s="26">
        <v>801</v>
      </c>
      <c r="C428" s="65" t="s">
        <v>53</v>
      </c>
      <c r="D428" s="65" t="s">
        <v>73</v>
      </c>
      <c r="E428" s="26" t="s">
        <v>311</v>
      </c>
      <c r="F428" s="26"/>
      <c r="G428" s="67">
        <f t="shared" si="86"/>
        <v>962.5</v>
      </c>
      <c r="H428" s="67">
        <f t="shared" si="86"/>
        <v>0</v>
      </c>
      <c r="I428" s="67">
        <f t="shared" si="72"/>
        <v>962.5</v>
      </c>
      <c r="J428" s="67">
        <f t="shared" si="86"/>
        <v>0</v>
      </c>
      <c r="K428" s="67">
        <f t="shared" si="84"/>
        <v>962.5</v>
      </c>
      <c r="L428" s="67">
        <f t="shared" si="86"/>
        <v>0</v>
      </c>
      <c r="M428" s="67">
        <f t="shared" si="85"/>
        <v>962.5</v>
      </c>
      <c r="N428" s="67">
        <f t="shared" si="86"/>
        <v>0</v>
      </c>
      <c r="O428" s="67">
        <f t="shared" si="79"/>
        <v>962.5</v>
      </c>
    </row>
    <row r="429" spans="1:15" ht="49.5" x14ac:dyDescent="0.2">
      <c r="A429" s="64" t="str">
        <f ca="1">IF(ISERROR(MATCH(E429,Код_КЦСР,0)),"",INDIRECT(ADDRESS(MATCH(E429,Код_КЦСР,0)+1,2,,,"КЦСР")))</f>
        <v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v>
      </c>
      <c r="B429" s="26">
        <v>801</v>
      </c>
      <c r="C429" s="65" t="s">
        <v>53</v>
      </c>
      <c r="D429" s="65" t="s">
        <v>73</v>
      </c>
      <c r="E429" s="26" t="s">
        <v>312</v>
      </c>
      <c r="F429" s="26"/>
      <c r="G429" s="67">
        <f t="shared" si="86"/>
        <v>962.5</v>
      </c>
      <c r="H429" s="67">
        <f t="shared" si="86"/>
        <v>0</v>
      </c>
      <c r="I429" s="67">
        <f t="shared" si="72"/>
        <v>962.5</v>
      </c>
      <c r="J429" s="67">
        <f t="shared" si="86"/>
        <v>0</v>
      </c>
      <c r="K429" s="67">
        <f t="shared" si="84"/>
        <v>962.5</v>
      </c>
      <c r="L429" s="67">
        <f t="shared" si="86"/>
        <v>0</v>
      </c>
      <c r="M429" s="67">
        <f t="shared" si="85"/>
        <v>962.5</v>
      </c>
      <c r="N429" s="67">
        <f t="shared" si="86"/>
        <v>0</v>
      </c>
      <c r="O429" s="67">
        <f t="shared" si="79"/>
        <v>962.5</v>
      </c>
    </row>
    <row r="430" spans="1:15" x14ac:dyDescent="0.2">
      <c r="A430" s="64" t="str">
        <f ca="1">IF(ISERROR(MATCH(F430,Код_КВР,0)),"",INDIRECT(ADDRESS(MATCH(F430,Код_КВР,0)+1,2,,,"КВР")))</f>
        <v>Социальное обеспечение и иные выплаты населению</v>
      </c>
      <c r="B430" s="26">
        <v>801</v>
      </c>
      <c r="C430" s="65" t="s">
        <v>53</v>
      </c>
      <c r="D430" s="65" t="s">
        <v>73</v>
      </c>
      <c r="E430" s="26" t="s">
        <v>312</v>
      </c>
      <c r="F430" s="26">
        <v>300</v>
      </c>
      <c r="G430" s="67">
        <f t="shared" si="86"/>
        <v>962.5</v>
      </c>
      <c r="H430" s="67">
        <f t="shared" si="86"/>
        <v>0</v>
      </c>
      <c r="I430" s="67">
        <f t="shared" si="72"/>
        <v>962.5</v>
      </c>
      <c r="J430" s="67">
        <f t="shared" si="86"/>
        <v>0</v>
      </c>
      <c r="K430" s="67">
        <f t="shared" si="84"/>
        <v>962.5</v>
      </c>
      <c r="L430" s="67">
        <f t="shared" si="86"/>
        <v>0</v>
      </c>
      <c r="M430" s="67">
        <f t="shared" si="85"/>
        <v>962.5</v>
      </c>
      <c r="N430" s="67">
        <f t="shared" si="86"/>
        <v>0</v>
      </c>
      <c r="O430" s="67">
        <f t="shared" si="79"/>
        <v>962.5</v>
      </c>
    </row>
    <row r="431" spans="1:15" ht="33" x14ac:dyDescent="0.2">
      <c r="A431" s="64" t="str">
        <f ca="1">IF(ISERROR(MATCH(F431,Код_КВР,0)),"",INDIRECT(ADDRESS(MATCH(F431,Код_КВР,0)+1,2,,,"КВР")))</f>
        <v>Социальные выплаты гражданам, кроме публичных нормативных социальных выплат</v>
      </c>
      <c r="B431" s="26">
        <v>801</v>
      </c>
      <c r="C431" s="65" t="s">
        <v>53</v>
      </c>
      <c r="D431" s="65" t="s">
        <v>73</v>
      </c>
      <c r="E431" s="26" t="s">
        <v>312</v>
      </c>
      <c r="F431" s="26">
        <v>320</v>
      </c>
      <c r="G431" s="67">
        <v>962.5</v>
      </c>
      <c r="H431" s="67"/>
      <c r="I431" s="67">
        <f t="shared" si="72"/>
        <v>962.5</v>
      </c>
      <c r="J431" s="67"/>
      <c r="K431" s="67">
        <f t="shared" si="84"/>
        <v>962.5</v>
      </c>
      <c r="L431" s="67"/>
      <c r="M431" s="67">
        <f t="shared" si="85"/>
        <v>962.5</v>
      </c>
      <c r="N431" s="67"/>
      <c r="O431" s="67">
        <f t="shared" si="79"/>
        <v>962.5</v>
      </c>
    </row>
    <row r="432" spans="1:15" x14ac:dyDescent="0.2">
      <c r="A432" s="45" t="s">
        <v>54</v>
      </c>
      <c r="B432" s="26">
        <v>801</v>
      </c>
      <c r="C432" s="65" t="s">
        <v>53</v>
      </c>
      <c r="D432" s="65" t="s">
        <v>74</v>
      </c>
      <c r="E432" s="26"/>
      <c r="F432" s="26"/>
      <c r="G432" s="67">
        <f t="shared" ref="G432:N432" si="87">G433</f>
        <v>10345.599999999999</v>
      </c>
      <c r="H432" s="67">
        <f t="shared" si="87"/>
        <v>0</v>
      </c>
      <c r="I432" s="67">
        <f t="shared" si="72"/>
        <v>10345.599999999999</v>
      </c>
      <c r="J432" s="67">
        <f t="shared" si="87"/>
        <v>0</v>
      </c>
      <c r="K432" s="67">
        <f t="shared" si="84"/>
        <v>10345.599999999999</v>
      </c>
      <c r="L432" s="67">
        <f t="shared" si="87"/>
        <v>0</v>
      </c>
      <c r="M432" s="67">
        <f t="shared" si="85"/>
        <v>10345.599999999999</v>
      </c>
      <c r="N432" s="67">
        <f t="shared" si="87"/>
        <v>0</v>
      </c>
      <c r="O432" s="67">
        <f t="shared" si="79"/>
        <v>10345.599999999999</v>
      </c>
    </row>
    <row r="433" spans="1:15" ht="33" x14ac:dyDescent="0.2">
      <c r="A433" s="64" t="str">
        <f ca="1">IF(ISERROR(MATCH(E433,Код_КЦСР,0)),"",INDIRECT(ADDRESS(MATCH(E433,Код_КЦСР,0)+1,2,,,"КЦСР")))</f>
        <v>Муниципальная программа «Социальная поддержка граждан» на 2014 – 2022 годы</v>
      </c>
      <c r="B433" s="26">
        <v>801</v>
      </c>
      <c r="C433" s="65" t="s">
        <v>53</v>
      </c>
      <c r="D433" s="65" t="s">
        <v>74</v>
      </c>
      <c r="E433" s="26" t="s">
        <v>311</v>
      </c>
      <c r="F433" s="26"/>
      <c r="G433" s="67">
        <f>G434</f>
        <v>10345.599999999999</v>
      </c>
      <c r="H433" s="67">
        <f>H434</f>
        <v>0</v>
      </c>
      <c r="I433" s="67">
        <f t="shared" ref="I433:I496" si="88">G433+H433</f>
        <v>10345.599999999999</v>
      </c>
      <c r="J433" s="67">
        <f>J434</f>
        <v>0</v>
      </c>
      <c r="K433" s="67">
        <f t="shared" si="84"/>
        <v>10345.599999999999</v>
      </c>
      <c r="L433" s="67">
        <f>L434</f>
        <v>0</v>
      </c>
      <c r="M433" s="67">
        <f t="shared" si="85"/>
        <v>10345.599999999999</v>
      </c>
      <c r="N433" s="67">
        <f>N434</f>
        <v>0</v>
      </c>
      <c r="O433" s="67">
        <f t="shared" si="79"/>
        <v>10345.599999999999</v>
      </c>
    </row>
    <row r="434" spans="1:15" ht="66" x14ac:dyDescent="0.2">
      <c r="A434" s="64" t="str">
        <f ca="1">IF(ISERROR(MATCH(E434,Код_КЦСР,0)),"",INDIRECT(ADDRESS(MATCH(E434,Код_КЦСР,0)+1,2,,,"КЦСР")))</f>
        <v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v>
      </c>
      <c r="B434" s="26">
        <v>801</v>
      </c>
      <c r="C434" s="65" t="s">
        <v>53</v>
      </c>
      <c r="D434" s="65" t="s">
        <v>74</v>
      </c>
      <c r="E434" s="26" t="s">
        <v>573</v>
      </c>
      <c r="F434" s="26"/>
      <c r="G434" s="66">
        <f>G435</f>
        <v>10345.599999999999</v>
      </c>
      <c r="H434" s="66">
        <f>H435</f>
        <v>0</v>
      </c>
      <c r="I434" s="67">
        <f t="shared" si="88"/>
        <v>10345.599999999999</v>
      </c>
      <c r="J434" s="66">
        <f>J435</f>
        <v>0</v>
      </c>
      <c r="K434" s="67">
        <f t="shared" si="84"/>
        <v>10345.599999999999</v>
      </c>
      <c r="L434" s="66">
        <f>L435</f>
        <v>0</v>
      </c>
      <c r="M434" s="67">
        <f t="shared" si="85"/>
        <v>10345.599999999999</v>
      </c>
      <c r="N434" s="66">
        <f>N435</f>
        <v>0</v>
      </c>
      <c r="O434" s="67">
        <f t="shared" si="79"/>
        <v>10345.599999999999</v>
      </c>
    </row>
    <row r="435" spans="1:15" ht="143.25" customHeight="1" x14ac:dyDescent="0.2">
      <c r="A435" s="64" t="str">
        <f ca="1">IF(ISERROR(MATCH(E435,Код_КЦСР,0)),"",INDIRECT(ADDRESS(MATCH(E435,Код_КЦСР,0)+1,2,,,"КЦСР")))</f>
        <v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государственных образовательных организациях), лиц из числа детей указанных категорий» за счет средств областного бюджета</v>
      </c>
      <c r="B435" s="26">
        <v>801</v>
      </c>
      <c r="C435" s="65" t="s">
        <v>53</v>
      </c>
      <c r="D435" s="65" t="s">
        <v>74</v>
      </c>
      <c r="E435" s="26" t="s">
        <v>574</v>
      </c>
      <c r="F435" s="26"/>
      <c r="G435" s="66">
        <f>G436+G438+G440</f>
        <v>10345.599999999999</v>
      </c>
      <c r="H435" s="66">
        <f>H436+H438+H440</f>
        <v>0</v>
      </c>
      <c r="I435" s="67">
        <f t="shared" si="88"/>
        <v>10345.599999999999</v>
      </c>
      <c r="J435" s="66">
        <f>J436+J438+J440</f>
        <v>0</v>
      </c>
      <c r="K435" s="67">
        <f t="shared" si="84"/>
        <v>10345.599999999999</v>
      </c>
      <c r="L435" s="66">
        <f>L436+L438+L440</f>
        <v>0</v>
      </c>
      <c r="M435" s="67">
        <f t="shared" si="85"/>
        <v>10345.599999999999</v>
      </c>
      <c r="N435" s="66">
        <f>N436+N438+N440</f>
        <v>0</v>
      </c>
      <c r="O435" s="67">
        <f t="shared" si="79"/>
        <v>10345.599999999999</v>
      </c>
    </row>
    <row r="436" spans="1:15" ht="49.5" x14ac:dyDescent="0.2">
      <c r="A436" s="64" t="str">
        <f t="shared" ref="A436:A441" ca="1" si="89">IF(ISERROR(MATCH(F436,Код_КВР,0)),"",INDIRECT(ADDRESS(MATCH(F436,Код_КВР,0)+1,2,,,"КВР")))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36" s="26">
        <v>801</v>
      </c>
      <c r="C436" s="65" t="s">
        <v>53</v>
      </c>
      <c r="D436" s="65" t="s">
        <v>74</v>
      </c>
      <c r="E436" s="26" t="s">
        <v>574</v>
      </c>
      <c r="F436" s="26">
        <v>100</v>
      </c>
      <c r="G436" s="66">
        <f>G437</f>
        <v>9345.7999999999993</v>
      </c>
      <c r="H436" s="66">
        <f>H437</f>
        <v>0</v>
      </c>
      <c r="I436" s="67">
        <f t="shared" si="88"/>
        <v>9345.7999999999993</v>
      </c>
      <c r="J436" s="66">
        <f>J437</f>
        <v>0</v>
      </c>
      <c r="K436" s="67">
        <f t="shared" si="84"/>
        <v>9345.7999999999993</v>
      </c>
      <c r="L436" s="66">
        <f>L437</f>
        <v>0</v>
      </c>
      <c r="M436" s="67">
        <f t="shared" si="85"/>
        <v>9345.7999999999993</v>
      </c>
      <c r="N436" s="66">
        <f>N437</f>
        <v>0</v>
      </c>
      <c r="O436" s="67">
        <f t="shared" si="79"/>
        <v>9345.7999999999993</v>
      </c>
    </row>
    <row r="437" spans="1:15" x14ac:dyDescent="0.2">
      <c r="A437" s="64" t="str">
        <f t="shared" ca="1" si="89"/>
        <v>Расходы на выплаты персоналу государственных (муниципальных) органов</v>
      </c>
      <c r="B437" s="26">
        <v>801</v>
      </c>
      <c r="C437" s="65" t="s">
        <v>53</v>
      </c>
      <c r="D437" s="65" t="s">
        <v>74</v>
      </c>
      <c r="E437" s="26" t="s">
        <v>574</v>
      </c>
      <c r="F437" s="26">
        <v>120</v>
      </c>
      <c r="G437" s="66">
        <f>7037.9+2125.4+182.5</f>
        <v>9345.7999999999993</v>
      </c>
      <c r="H437" s="66"/>
      <c r="I437" s="67">
        <f t="shared" si="88"/>
        <v>9345.7999999999993</v>
      </c>
      <c r="J437" s="66"/>
      <c r="K437" s="67">
        <f t="shared" si="84"/>
        <v>9345.7999999999993</v>
      </c>
      <c r="L437" s="66"/>
      <c r="M437" s="67">
        <f t="shared" si="85"/>
        <v>9345.7999999999993</v>
      </c>
      <c r="N437" s="66"/>
      <c r="O437" s="67">
        <f t="shared" si="79"/>
        <v>9345.7999999999993</v>
      </c>
    </row>
    <row r="438" spans="1:15" ht="33" x14ac:dyDescent="0.2">
      <c r="A438" s="64" t="str">
        <f t="shared" ca="1" si="89"/>
        <v>Закупка товаров, работ и услуг для обеспечения государственных (муниципальных) нужд</v>
      </c>
      <c r="B438" s="26">
        <v>801</v>
      </c>
      <c r="C438" s="65" t="s">
        <v>53</v>
      </c>
      <c r="D438" s="65" t="s">
        <v>74</v>
      </c>
      <c r="E438" s="26" t="s">
        <v>574</v>
      </c>
      <c r="F438" s="26">
        <v>200</v>
      </c>
      <c r="G438" s="66">
        <f>G439</f>
        <v>999.8</v>
      </c>
      <c r="H438" s="66">
        <f>H439</f>
        <v>0</v>
      </c>
      <c r="I438" s="67">
        <f t="shared" si="88"/>
        <v>999.8</v>
      </c>
      <c r="J438" s="66">
        <f>J439</f>
        <v>0</v>
      </c>
      <c r="K438" s="67">
        <f t="shared" si="84"/>
        <v>999.8</v>
      </c>
      <c r="L438" s="66">
        <f>L439</f>
        <v>0</v>
      </c>
      <c r="M438" s="67">
        <f t="shared" si="85"/>
        <v>999.8</v>
      </c>
      <c r="N438" s="66">
        <f>N439</f>
        <v>0</v>
      </c>
      <c r="O438" s="67">
        <f t="shared" si="79"/>
        <v>999.8</v>
      </c>
    </row>
    <row r="439" spans="1:15" ht="33" x14ac:dyDescent="0.2">
      <c r="A439" s="64" t="str">
        <f t="shared" ca="1" si="89"/>
        <v>Иные закупки товаров, работ и услуг для обеспечения государственных (муниципальных) нужд</v>
      </c>
      <c r="B439" s="26">
        <v>801</v>
      </c>
      <c r="C439" s="65" t="s">
        <v>53</v>
      </c>
      <c r="D439" s="65" t="s">
        <v>74</v>
      </c>
      <c r="E439" s="26" t="s">
        <v>574</v>
      </c>
      <c r="F439" s="26">
        <v>240</v>
      </c>
      <c r="G439" s="66">
        <v>999.8</v>
      </c>
      <c r="H439" s="66"/>
      <c r="I439" s="67">
        <f t="shared" si="88"/>
        <v>999.8</v>
      </c>
      <c r="J439" s="66"/>
      <c r="K439" s="67">
        <f t="shared" si="84"/>
        <v>999.8</v>
      </c>
      <c r="L439" s="66"/>
      <c r="M439" s="67">
        <f t="shared" si="85"/>
        <v>999.8</v>
      </c>
      <c r="N439" s="66"/>
      <c r="O439" s="67">
        <f t="shared" si="79"/>
        <v>999.8</v>
      </c>
    </row>
    <row r="440" spans="1:15" x14ac:dyDescent="0.2">
      <c r="A440" s="64" t="str">
        <f t="shared" ca="1" si="89"/>
        <v>Иные бюджетные ассигнования</v>
      </c>
      <c r="B440" s="26">
        <v>801</v>
      </c>
      <c r="C440" s="65" t="s">
        <v>53</v>
      </c>
      <c r="D440" s="65" t="s">
        <v>74</v>
      </c>
      <c r="E440" s="26" t="s">
        <v>574</v>
      </c>
      <c r="F440" s="26">
        <v>800</v>
      </c>
      <c r="G440" s="66">
        <f>G441</f>
        <v>0</v>
      </c>
      <c r="H440" s="66">
        <f>H441</f>
        <v>0</v>
      </c>
      <c r="I440" s="67">
        <f t="shared" si="88"/>
        <v>0</v>
      </c>
      <c r="J440" s="66">
        <f>J441</f>
        <v>0</v>
      </c>
      <c r="K440" s="67">
        <f t="shared" si="84"/>
        <v>0</v>
      </c>
      <c r="L440" s="66">
        <f>L441</f>
        <v>0</v>
      </c>
      <c r="M440" s="67">
        <f t="shared" si="85"/>
        <v>0</v>
      </c>
      <c r="N440" s="66">
        <f>N441</f>
        <v>0</v>
      </c>
      <c r="O440" s="67">
        <f t="shared" si="79"/>
        <v>0</v>
      </c>
    </row>
    <row r="441" spans="1:15" x14ac:dyDescent="0.2">
      <c r="A441" s="64" t="str">
        <f t="shared" ca="1" si="89"/>
        <v>Уплата налогов, сборов и иных платежей</v>
      </c>
      <c r="B441" s="26">
        <v>801</v>
      </c>
      <c r="C441" s="65" t="s">
        <v>53</v>
      </c>
      <c r="D441" s="65" t="s">
        <v>74</v>
      </c>
      <c r="E441" s="26" t="s">
        <v>574</v>
      </c>
      <c r="F441" s="26">
        <v>850</v>
      </c>
      <c r="G441" s="66"/>
      <c r="H441" s="66"/>
      <c r="I441" s="67">
        <f t="shared" si="88"/>
        <v>0</v>
      </c>
      <c r="J441" s="66"/>
      <c r="K441" s="67">
        <f t="shared" si="84"/>
        <v>0</v>
      </c>
      <c r="L441" s="66"/>
      <c r="M441" s="67">
        <f t="shared" si="85"/>
        <v>0</v>
      </c>
      <c r="N441" s="66"/>
      <c r="O441" s="67">
        <f t="shared" si="79"/>
        <v>0</v>
      </c>
    </row>
    <row r="442" spans="1:15" x14ac:dyDescent="0.2">
      <c r="A442" s="64" t="str">
        <f ca="1">IF(ISERROR(MATCH(C442,Код_Раздел,0)),"",INDIRECT(ADDRESS(MATCH(C442,Код_Раздел,0)+1,2,,,"Раздел")))</f>
        <v>Средства массовой информации</v>
      </c>
      <c r="B442" s="26">
        <v>801</v>
      </c>
      <c r="C442" s="65" t="s">
        <v>61</v>
      </c>
      <c r="D442" s="65"/>
      <c r="E442" s="26"/>
      <c r="F442" s="26"/>
      <c r="G442" s="66">
        <f t="shared" ref="G442:N443" si="90">G443</f>
        <v>54235.8</v>
      </c>
      <c r="H442" s="66">
        <f t="shared" si="90"/>
        <v>0</v>
      </c>
      <c r="I442" s="67">
        <f t="shared" si="88"/>
        <v>54235.8</v>
      </c>
      <c r="J442" s="66">
        <f t="shared" si="90"/>
        <v>0</v>
      </c>
      <c r="K442" s="67">
        <f t="shared" si="84"/>
        <v>54235.8</v>
      </c>
      <c r="L442" s="66">
        <f t="shared" si="90"/>
        <v>942.4</v>
      </c>
      <c r="M442" s="67">
        <f t="shared" si="85"/>
        <v>55178.200000000004</v>
      </c>
      <c r="N442" s="66">
        <f t="shared" si="90"/>
        <v>0</v>
      </c>
      <c r="O442" s="67">
        <f t="shared" si="79"/>
        <v>55178.200000000004</v>
      </c>
    </row>
    <row r="443" spans="1:15" x14ac:dyDescent="0.2">
      <c r="A443" s="74" t="s">
        <v>62</v>
      </c>
      <c r="B443" s="26">
        <v>801</v>
      </c>
      <c r="C443" s="65" t="s">
        <v>61</v>
      </c>
      <c r="D443" s="65" t="s">
        <v>71</v>
      </c>
      <c r="E443" s="26"/>
      <c r="F443" s="26"/>
      <c r="G443" s="66">
        <f t="shared" si="90"/>
        <v>54235.8</v>
      </c>
      <c r="H443" s="66">
        <f t="shared" si="90"/>
        <v>0</v>
      </c>
      <c r="I443" s="67">
        <f t="shared" si="88"/>
        <v>54235.8</v>
      </c>
      <c r="J443" s="66">
        <f t="shared" si="90"/>
        <v>0</v>
      </c>
      <c r="K443" s="67">
        <f t="shared" si="84"/>
        <v>54235.8</v>
      </c>
      <c r="L443" s="66">
        <f t="shared" si="90"/>
        <v>942.4</v>
      </c>
      <c r="M443" s="67">
        <f t="shared" si="85"/>
        <v>55178.200000000004</v>
      </c>
      <c r="N443" s="66">
        <f t="shared" si="90"/>
        <v>0</v>
      </c>
      <c r="O443" s="67">
        <f t="shared" si="79"/>
        <v>55178.200000000004</v>
      </c>
    </row>
    <row r="444" spans="1:15" ht="49.5" x14ac:dyDescent="0.2">
      <c r="A444" s="64" t="str">
        <f ca="1">IF(ISERROR(MATCH(E444,Код_КЦСР,0)),"",INDIRECT(ADDRESS(MATCH(E444,Код_КЦСР,0)+1,2,,,"КЦСР")))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2020 годы</v>
      </c>
      <c r="B444" s="26">
        <v>801</v>
      </c>
      <c r="C444" s="65" t="s">
        <v>61</v>
      </c>
      <c r="D444" s="65" t="s">
        <v>71</v>
      </c>
      <c r="E444" s="26" t="s">
        <v>389</v>
      </c>
      <c r="F444" s="26"/>
      <c r="G444" s="66">
        <f>G445+G452</f>
        <v>54235.8</v>
      </c>
      <c r="H444" s="66">
        <f>H445+H452</f>
        <v>0</v>
      </c>
      <c r="I444" s="67">
        <f t="shared" si="88"/>
        <v>54235.8</v>
      </c>
      <c r="J444" s="66">
        <f>J445+J452</f>
        <v>0</v>
      </c>
      <c r="K444" s="67">
        <f t="shared" si="84"/>
        <v>54235.8</v>
      </c>
      <c r="L444" s="66">
        <f>L445+L452</f>
        <v>942.4</v>
      </c>
      <c r="M444" s="67">
        <f t="shared" si="85"/>
        <v>55178.200000000004</v>
      </c>
      <c r="N444" s="66">
        <f>N445+N452</f>
        <v>0</v>
      </c>
      <c r="O444" s="67">
        <f t="shared" si="79"/>
        <v>55178.200000000004</v>
      </c>
    </row>
    <row r="445" spans="1:15" ht="66" x14ac:dyDescent="0.2">
      <c r="A445" s="64" t="str">
        <f ca="1">IF(ISERROR(MATCH(E445,Код_КЦСР,0)),"",INDIRECT(ADDRESS(MATCH(E445,Код_КЦСР,0)+1,2,,,"КЦСР")))</f>
        <v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v>
      </c>
      <c r="B445" s="26">
        <v>801</v>
      </c>
      <c r="C445" s="65" t="s">
        <v>61</v>
      </c>
      <c r="D445" s="65" t="s">
        <v>71</v>
      </c>
      <c r="E445" s="26" t="s">
        <v>393</v>
      </c>
      <c r="F445" s="26"/>
      <c r="G445" s="66">
        <f>G446+G448+G450</f>
        <v>30106</v>
      </c>
      <c r="H445" s="66">
        <f>H446+H448+H450</f>
        <v>0</v>
      </c>
      <c r="I445" s="67">
        <f t="shared" si="88"/>
        <v>30106</v>
      </c>
      <c r="J445" s="66">
        <f>J446+J448+J450</f>
        <v>0</v>
      </c>
      <c r="K445" s="67">
        <f t="shared" si="84"/>
        <v>30106</v>
      </c>
      <c r="L445" s="66">
        <f>L446+L448+L450</f>
        <v>0</v>
      </c>
      <c r="M445" s="67">
        <f t="shared" si="85"/>
        <v>30106</v>
      </c>
      <c r="N445" s="66">
        <f>N446+N448+N450</f>
        <v>0</v>
      </c>
      <c r="O445" s="67">
        <f t="shared" si="79"/>
        <v>30106</v>
      </c>
    </row>
    <row r="446" spans="1:15" ht="49.5" x14ac:dyDescent="0.2">
      <c r="A446" s="64" t="str">
        <f t="shared" ref="A446:A451" ca="1" si="91">IF(ISERROR(MATCH(F446,Код_КВР,0)),"",INDIRECT(ADDRESS(MATCH(F446,Код_КВР,0)+1,2,,,"КВР")))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6" s="26">
        <v>801</v>
      </c>
      <c r="C446" s="65" t="s">
        <v>61</v>
      </c>
      <c r="D446" s="65" t="s">
        <v>71</v>
      </c>
      <c r="E446" s="26" t="s">
        <v>393</v>
      </c>
      <c r="F446" s="26">
        <v>100</v>
      </c>
      <c r="G446" s="66">
        <f>G447</f>
        <v>24939</v>
      </c>
      <c r="H446" s="66">
        <f>H447</f>
        <v>0</v>
      </c>
      <c r="I446" s="67">
        <f t="shared" si="88"/>
        <v>24939</v>
      </c>
      <c r="J446" s="66">
        <f>J447</f>
        <v>0</v>
      </c>
      <c r="K446" s="67">
        <f t="shared" si="84"/>
        <v>24939</v>
      </c>
      <c r="L446" s="66">
        <f>L447</f>
        <v>165</v>
      </c>
      <c r="M446" s="67">
        <f t="shared" si="85"/>
        <v>25104</v>
      </c>
      <c r="N446" s="66">
        <f>N447</f>
        <v>0</v>
      </c>
      <c r="O446" s="67">
        <f t="shared" si="79"/>
        <v>25104</v>
      </c>
    </row>
    <row r="447" spans="1:15" x14ac:dyDescent="0.2">
      <c r="A447" s="64" t="str">
        <f t="shared" ca="1" si="91"/>
        <v>Расходы на выплаты персоналу казенных учреждений</v>
      </c>
      <c r="B447" s="26">
        <v>801</v>
      </c>
      <c r="C447" s="65" t="s">
        <v>61</v>
      </c>
      <c r="D447" s="65" t="s">
        <v>71</v>
      </c>
      <c r="E447" s="26" t="s">
        <v>393</v>
      </c>
      <c r="F447" s="26">
        <v>110</v>
      </c>
      <c r="G447" s="66">
        <f>18900.6+174.2+5708+156.2</f>
        <v>24939</v>
      </c>
      <c r="H447" s="66"/>
      <c r="I447" s="67">
        <f t="shared" si="88"/>
        <v>24939</v>
      </c>
      <c r="J447" s="66"/>
      <c r="K447" s="67">
        <f t="shared" si="84"/>
        <v>24939</v>
      </c>
      <c r="L447" s="66">
        <v>165</v>
      </c>
      <c r="M447" s="67">
        <f t="shared" si="85"/>
        <v>25104</v>
      </c>
      <c r="N447" s="66"/>
      <c r="O447" s="67">
        <f t="shared" si="79"/>
        <v>25104</v>
      </c>
    </row>
    <row r="448" spans="1:15" ht="33" x14ac:dyDescent="0.2">
      <c r="A448" s="64" t="str">
        <f t="shared" ca="1" si="91"/>
        <v>Закупка товаров, работ и услуг для обеспечения государственных (муниципальных) нужд</v>
      </c>
      <c r="B448" s="26">
        <v>801</v>
      </c>
      <c r="C448" s="65" t="s">
        <v>61</v>
      </c>
      <c r="D448" s="65" t="s">
        <v>71</v>
      </c>
      <c r="E448" s="26" t="s">
        <v>393</v>
      </c>
      <c r="F448" s="26">
        <v>200</v>
      </c>
      <c r="G448" s="66">
        <f>G449</f>
        <v>5127.2</v>
      </c>
      <c r="H448" s="66">
        <f>H449</f>
        <v>0</v>
      </c>
      <c r="I448" s="67">
        <f t="shared" si="88"/>
        <v>5127.2</v>
      </c>
      <c r="J448" s="66">
        <f>J449</f>
        <v>0</v>
      </c>
      <c r="K448" s="67">
        <f t="shared" si="84"/>
        <v>5127.2</v>
      </c>
      <c r="L448" s="66">
        <f>L449</f>
        <v>-165</v>
      </c>
      <c r="M448" s="67">
        <f t="shared" si="85"/>
        <v>4962.2</v>
      </c>
      <c r="N448" s="66">
        <f>N449</f>
        <v>0</v>
      </c>
      <c r="O448" s="67">
        <f t="shared" si="79"/>
        <v>4962.2</v>
      </c>
    </row>
    <row r="449" spans="1:15" ht="33" x14ac:dyDescent="0.2">
      <c r="A449" s="64" t="str">
        <f t="shared" ca="1" si="91"/>
        <v>Иные закупки товаров, работ и услуг для обеспечения государственных (муниципальных) нужд</v>
      </c>
      <c r="B449" s="26">
        <v>801</v>
      </c>
      <c r="C449" s="65" t="s">
        <v>61</v>
      </c>
      <c r="D449" s="65" t="s">
        <v>71</v>
      </c>
      <c r="E449" s="26" t="s">
        <v>393</v>
      </c>
      <c r="F449" s="26">
        <v>240</v>
      </c>
      <c r="G449" s="67">
        <v>5127.2</v>
      </c>
      <c r="H449" s="67"/>
      <c r="I449" s="67">
        <f t="shared" si="88"/>
        <v>5127.2</v>
      </c>
      <c r="J449" s="67"/>
      <c r="K449" s="67">
        <f t="shared" si="84"/>
        <v>5127.2</v>
      </c>
      <c r="L449" s="67">
        <v>-165</v>
      </c>
      <c r="M449" s="67">
        <f t="shared" si="85"/>
        <v>4962.2</v>
      </c>
      <c r="N449" s="67"/>
      <c r="O449" s="67">
        <f t="shared" si="79"/>
        <v>4962.2</v>
      </c>
    </row>
    <row r="450" spans="1:15" x14ac:dyDescent="0.2">
      <c r="A450" s="64" t="str">
        <f t="shared" ca="1" si="91"/>
        <v>Иные бюджетные ассигнования</v>
      </c>
      <c r="B450" s="26">
        <v>801</v>
      </c>
      <c r="C450" s="65" t="s">
        <v>61</v>
      </c>
      <c r="D450" s="65" t="s">
        <v>71</v>
      </c>
      <c r="E450" s="26" t="s">
        <v>393</v>
      </c>
      <c r="F450" s="26">
        <v>800</v>
      </c>
      <c r="G450" s="66">
        <f>G451</f>
        <v>39.800000000000004</v>
      </c>
      <c r="H450" s="66">
        <f>H451</f>
        <v>0</v>
      </c>
      <c r="I450" s="67">
        <f t="shared" si="88"/>
        <v>39.800000000000004</v>
      </c>
      <c r="J450" s="66">
        <f>J451</f>
        <v>0</v>
      </c>
      <c r="K450" s="67">
        <f t="shared" si="84"/>
        <v>39.800000000000004</v>
      </c>
      <c r="L450" s="66">
        <f>L451</f>
        <v>0</v>
      </c>
      <c r="M450" s="67">
        <f t="shared" si="85"/>
        <v>39.800000000000004</v>
      </c>
      <c r="N450" s="66">
        <f>N451</f>
        <v>0</v>
      </c>
      <c r="O450" s="67">
        <f t="shared" si="79"/>
        <v>39.800000000000004</v>
      </c>
    </row>
    <row r="451" spans="1:15" x14ac:dyDescent="0.2">
      <c r="A451" s="64" t="str">
        <f t="shared" ca="1" si="91"/>
        <v>Уплата налогов, сборов и иных платежей</v>
      </c>
      <c r="B451" s="26">
        <v>801</v>
      </c>
      <c r="C451" s="65" t="s">
        <v>61</v>
      </c>
      <c r="D451" s="65" t="s">
        <v>71</v>
      </c>
      <c r="E451" s="26" t="s">
        <v>393</v>
      </c>
      <c r="F451" s="26">
        <v>850</v>
      </c>
      <c r="G451" s="66">
        <f>25+10.6+4.2</f>
        <v>39.800000000000004</v>
      </c>
      <c r="H451" s="66"/>
      <c r="I451" s="67">
        <f t="shared" si="88"/>
        <v>39.800000000000004</v>
      </c>
      <c r="J451" s="66"/>
      <c r="K451" s="67">
        <f t="shared" si="84"/>
        <v>39.800000000000004</v>
      </c>
      <c r="L451" s="66"/>
      <c r="M451" s="67">
        <f t="shared" si="85"/>
        <v>39.800000000000004</v>
      </c>
      <c r="N451" s="66"/>
      <c r="O451" s="67">
        <f t="shared" si="79"/>
        <v>39.800000000000004</v>
      </c>
    </row>
    <row r="452" spans="1:15" ht="49.5" x14ac:dyDescent="0.2">
      <c r="A452" s="64" t="str">
        <f ca="1">IF(ISERROR(MATCH(E452,Код_КЦСР,0)),"",INDIRECT(ADDRESS(MATCH(E452,Код_КЦСР,0)+1,2,,,"КЦСР")))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452" s="26">
        <v>801</v>
      </c>
      <c r="C452" s="65" t="s">
        <v>61</v>
      </c>
      <c r="D452" s="65" t="s">
        <v>71</v>
      </c>
      <c r="E452" s="26" t="s">
        <v>394</v>
      </c>
      <c r="F452" s="26"/>
      <c r="G452" s="66">
        <f t="shared" ref="G452:N453" si="92">G453</f>
        <v>24129.8</v>
      </c>
      <c r="H452" s="66">
        <f t="shared" si="92"/>
        <v>0</v>
      </c>
      <c r="I452" s="67">
        <f t="shared" si="88"/>
        <v>24129.8</v>
      </c>
      <c r="J452" s="66">
        <f t="shared" si="92"/>
        <v>0</v>
      </c>
      <c r="K452" s="67">
        <f t="shared" si="84"/>
        <v>24129.8</v>
      </c>
      <c r="L452" s="66">
        <f t="shared" si="92"/>
        <v>942.4</v>
      </c>
      <c r="M452" s="67">
        <f t="shared" si="85"/>
        <v>25072.2</v>
      </c>
      <c r="N452" s="66">
        <f t="shared" si="92"/>
        <v>0</v>
      </c>
      <c r="O452" s="67">
        <f t="shared" si="79"/>
        <v>25072.2</v>
      </c>
    </row>
    <row r="453" spans="1:15" ht="33" x14ac:dyDescent="0.2">
      <c r="A453" s="64" t="str">
        <f ca="1">IF(ISERROR(MATCH(F453,Код_КВР,0)),"",INDIRECT(ADDRESS(MATCH(F453,Код_КВР,0)+1,2,,,"КВР")))</f>
        <v>Закупка товаров, работ и услуг для обеспечения государственных (муниципальных) нужд</v>
      </c>
      <c r="B453" s="26">
        <v>801</v>
      </c>
      <c r="C453" s="65" t="s">
        <v>61</v>
      </c>
      <c r="D453" s="65" t="s">
        <v>71</v>
      </c>
      <c r="E453" s="26" t="s">
        <v>394</v>
      </c>
      <c r="F453" s="26">
        <v>200</v>
      </c>
      <c r="G453" s="66">
        <f t="shared" si="92"/>
        <v>24129.8</v>
      </c>
      <c r="H453" s="66">
        <f t="shared" si="92"/>
        <v>0</v>
      </c>
      <c r="I453" s="67">
        <f t="shared" si="88"/>
        <v>24129.8</v>
      </c>
      <c r="J453" s="66">
        <f t="shared" si="92"/>
        <v>0</v>
      </c>
      <c r="K453" s="67">
        <f t="shared" si="84"/>
        <v>24129.8</v>
      </c>
      <c r="L453" s="66">
        <f t="shared" si="92"/>
        <v>942.4</v>
      </c>
      <c r="M453" s="67">
        <f t="shared" si="85"/>
        <v>25072.2</v>
      </c>
      <c r="N453" s="66">
        <f t="shared" si="92"/>
        <v>0</v>
      </c>
      <c r="O453" s="67">
        <f t="shared" si="79"/>
        <v>25072.2</v>
      </c>
    </row>
    <row r="454" spans="1:15" ht="33" x14ac:dyDescent="0.2">
      <c r="A454" s="64" t="str">
        <f ca="1">IF(ISERROR(MATCH(F454,Код_КВР,0)),"",INDIRECT(ADDRESS(MATCH(F454,Код_КВР,0)+1,2,,,"КВР")))</f>
        <v>Иные закупки товаров, работ и услуг для обеспечения государственных (муниципальных) нужд</v>
      </c>
      <c r="B454" s="26">
        <v>801</v>
      </c>
      <c r="C454" s="65" t="s">
        <v>61</v>
      </c>
      <c r="D454" s="65" t="s">
        <v>71</v>
      </c>
      <c r="E454" s="26" t="s">
        <v>394</v>
      </c>
      <c r="F454" s="26">
        <v>240</v>
      </c>
      <c r="G454" s="66">
        <v>24129.8</v>
      </c>
      <c r="H454" s="66"/>
      <c r="I454" s="67">
        <f t="shared" si="88"/>
        <v>24129.8</v>
      </c>
      <c r="J454" s="66"/>
      <c r="K454" s="67">
        <f t="shared" si="84"/>
        <v>24129.8</v>
      </c>
      <c r="L454" s="66">
        <v>942.4</v>
      </c>
      <c r="M454" s="67">
        <f t="shared" si="85"/>
        <v>25072.2</v>
      </c>
      <c r="N454" s="66"/>
      <c r="O454" s="67">
        <f t="shared" si="79"/>
        <v>25072.2</v>
      </c>
    </row>
    <row r="455" spans="1:15" x14ac:dyDescent="0.2">
      <c r="A455" s="64" t="str">
        <f ca="1">IF(ISERROR(MATCH(B455,Код_ППП,0)),"",INDIRECT(ADDRESS(MATCH(B455,Код_ППП,0)+1,2,,,"ППП")))</f>
        <v>ЧЕРЕПОВЕЦКАЯ ГОРОДСКАЯ ДУМА</v>
      </c>
      <c r="B455" s="26">
        <v>802</v>
      </c>
      <c r="C455" s="65"/>
      <c r="D455" s="65"/>
      <c r="E455" s="26"/>
      <c r="F455" s="26"/>
      <c r="G455" s="66">
        <f>G456+G481</f>
        <v>17903.399999999998</v>
      </c>
      <c r="H455" s="66">
        <f>H456+H481</f>
        <v>0</v>
      </c>
      <c r="I455" s="67">
        <f t="shared" si="88"/>
        <v>17903.399999999998</v>
      </c>
      <c r="J455" s="66">
        <f>J456+J481</f>
        <v>0</v>
      </c>
      <c r="K455" s="67">
        <f t="shared" si="84"/>
        <v>17903.399999999998</v>
      </c>
      <c r="L455" s="66">
        <f>L456+L481</f>
        <v>0</v>
      </c>
      <c r="M455" s="67">
        <f t="shared" si="85"/>
        <v>17903.399999999998</v>
      </c>
      <c r="N455" s="66">
        <f>N456+N481</f>
        <v>0</v>
      </c>
      <c r="O455" s="67">
        <f t="shared" si="79"/>
        <v>17903.399999999998</v>
      </c>
    </row>
    <row r="456" spans="1:15" x14ac:dyDescent="0.2">
      <c r="A456" s="64" t="str">
        <f ca="1">IF(ISERROR(MATCH(C456,Код_Раздел,0)),"",INDIRECT(ADDRESS(MATCH(C456,Код_Раздел,0)+1,2,,,"Раздел")))</f>
        <v>Общегосударственные вопросы</v>
      </c>
      <c r="B456" s="26">
        <v>802</v>
      </c>
      <c r="C456" s="65" t="s">
        <v>70</v>
      </c>
      <c r="D456" s="65"/>
      <c r="E456" s="26"/>
      <c r="F456" s="26"/>
      <c r="G456" s="66">
        <f>G464+G457+G475</f>
        <v>17732.099999999999</v>
      </c>
      <c r="H456" s="66">
        <f>H464+H457+H475</f>
        <v>0</v>
      </c>
      <c r="I456" s="67">
        <f t="shared" si="88"/>
        <v>17732.099999999999</v>
      </c>
      <c r="J456" s="66">
        <f>J464+J457+J475</f>
        <v>0</v>
      </c>
      <c r="K456" s="67">
        <f t="shared" si="84"/>
        <v>17732.099999999999</v>
      </c>
      <c r="L456" s="66">
        <f>L464+L457+L475</f>
        <v>0</v>
      </c>
      <c r="M456" s="67">
        <f t="shared" si="85"/>
        <v>17732.099999999999</v>
      </c>
      <c r="N456" s="66">
        <f>N464+N457+N475</f>
        <v>0</v>
      </c>
      <c r="O456" s="67">
        <f t="shared" si="79"/>
        <v>17732.099999999999</v>
      </c>
    </row>
    <row r="457" spans="1:15" ht="33" x14ac:dyDescent="0.2">
      <c r="A457" s="48" t="s">
        <v>88</v>
      </c>
      <c r="B457" s="26">
        <v>802</v>
      </c>
      <c r="C457" s="65" t="s">
        <v>70</v>
      </c>
      <c r="D457" s="65" t="s">
        <v>71</v>
      </c>
      <c r="E457" s="26"/>
      <c r="F457" s="26"/>
      <c r="G457" s="66">
        <f t="shared" ref="G457:N462" si="93">G458</f>
        <v>3346.5</v>
      </c>
      <c r="H457" s="66">
        <f t="shared" si="93"/>
        <v>0</v>
      </c>
      <c r="I457" s="67">
        <f t="shared" si="88"/>
        <v>3346.5</v>
      </c>
      <c r="J457" s="66">
        <f t="shared" si="93"/>
        <v>0</v>
      </c>
      <c r="K457" s="67">
        <f t="shared" si="84"/>
        <v>3346.5</v>
      </c>
      <c r="L457" s="66">
        <f t="shared" si="93"/>
        <v>0</v>
      </c>
      <c r="M457" s="67">
        <f t="shared" si="85"/>
        <v>3346.5</v>
      </c>
      <c r="N457" s="66">
        <f t="shared" si="93"/>
        <v>0</v>
      </c>
      <c r="O457" s="67">
        <f t="shared" si="79"/>
        <v>3346.5</v>
      </c>
    </row>
    <row r="458" spans="1:15" x14ac:dyDescent="0.2">
      <c r="A458" s="64" t="str">
        <f ca="1">IF(ISERROR(MATCH(E458,Код_КЦСР,0)),"",INDIRECT(ADDRESS(MATCH(E458,Код_КЦСР,0)+1,2,,,"КЦСР")))</f>
        <v>Расходы, не включенные в муниципальные программы города Череповца</v>
      </c>
      <c r="B458" s="26">
        <v>802</v>
      </c>
      <c r="C458" s="65" t="s">
        <v>70</v>
      </c>
      <c r="D458" s="65" t="s">
        <v>71</v>
      </c>
      <c r="E458" s="26" t="s">
        <v>399</v>
      </c>
      <c r="F458" s="26"/>
      <c r="G458" s="66">
        <f t="shared" si="93"/>
        <v>3346.5</v>
      </c>
      <c r="H458" s="66">
        <f t="shared" si="93"/>
        <v>0</v>
      </c>
      <c r="I458" s="67">
        <f t="shared" si="88"/>
        <v>3346.5</v>
      </c>
      <c r="J458" s="66">
        <f t="shared" si="93"/>
        <v>0</v>
      </c>
      <c r="K458" s="67">
        <f t="shared" si="84"/>
        <v>3346.5</v>
      </c>
      <c r="L458" s="66">
        <f t="shared" si="93"/>
        <v>0</v>
      </c>
      <c r="M458" s="67">
        <f t="shared" si="85"/>
        <v>3346.5</v>
      </c>
      <c r="N458" s="66">
        <f t="shared" si="93"/>
        <v>0</v>
      </c>
      <c r="O458" s="67">
        <f t="shared" si="79"/>
        <v>3346.5</v>
      </c>
    </row>
    <row r="459" spans="1:15" ht="33" x14ac:dyDescent="0.2">
      <c r="A459" s="64" t="str">
        <f ca="1">IF(ISERROR(MATCH(E459,Код_КЦСР,0)),"",INDIRECT(ADDRESS(MATCH(E459,Код_КЦСР,0)+1,2,,,"КЦСР")))</f>
        <v>Руководство и управление в сфере установленных функций органов местного самоуправления</v>
      </c>
      <c r="B459" s="26">
        <v>802</v>
      </c>
      <c r="C459" s="65" t="s">
        <v>70</v>
      </c>
      <c r="D459" s="65" t="s">
        <v>71</v>
      </c>
      <c r="E459" s="26" t="s">
        <v>400</v>
      </c>
      <c r="F459" s="26"/>
      <c r="G459" s="66">
        <f t="shared" si="93"/>
        <v>3346.5</v>
      </c>
      <c r="H459" s="66">
        <f t="shared" si="93"/>
        <v>0</v>
      </c>
      <c r="I459" s="67">
        <f t="shared" si="88"/>
        <v>3346.5</v>
      </c>
      <c r="J459" s="66">
        <f t="shared" si="93"/>
        <v>0</v>
      </c>
      <c r="K459" s="67">
        <f t="shared" si="84"/>
        <v>3346.5</v>
      </c>
      <c r="L459" s="66">
        <f t="shared" si="93"/>
        <v>0</v>
      </c>
      <c r="M459" s="67">
        <f t="shared" si="85"/>
        <v>3346.5</v>
      </c>
      <c r="N459" s="66">
        <f t="shared" si="93"/>
        <v>0</v>
      </c>
      <c r="O459" s="67">
        <f t="shared" si="79"/>
        <v>3346.5</v>
      </c>
    </row>
    <row r="460" spans="1:15" x14ac:dyDescent="0.2">
      <c r="A460" s="64" t="str">
        <f ca="1">IF(ISERROR(MATCH(E460,Код_КЦСР,0)),"",INDIRECT(ADDRESS(MATCH(E460,Код_КЦСР,0)+1,2,,,"КЦСР")))</f>
        <v>Глава муниципального образования</v>
      </c>
      <c r="B460" s="26">
        <v>802</v>
      </c>
      <c r="C460" s="65" t="s">
        <v>70</v>
      </c>
      <c r="D460" s="65" t="s">
        <v>71</v>
      </c>
      <c r="E460" s="26" t="s">
        <v>401</v>
      </c>
      <c r="F460" s="26"/>
      <c r="G460" s="66">
        <f t="shared" si="93"/>
        <v>3346.5</v>
      </c>
      <c r="H460" s="66">
        <f t="shared" si="93"/>
        <v>0</v>
      </c>
      <c r="I460" s="67">
        <f t="shared" si="88"/>
        <v>3346.5</v>
      </c>
      <c r="J460" s="66">
        <f t="shared" si="93"/>
        <v>0</v>
      </c>
      <c r="K460" s="67">
        <f t="shared" si="84"/>
        <v>3346.5</v>
      </c>
      <c r="L460" s="66">
        <f t="shared" si="93"/>
        <v>0</v>
      </c>
      <c r="M460" s="67">
        <f t="shared" si="85"/>
        <v>3346.5</v>
      </c>
      <c r="N460" s="66">
        <f t="shared" si="93"/>
        <v>0</v>
      </c>
      <c r="O460" s="67">
        <f t="shared" si="79"/>
        <v>3346.5</v>
      </c>
    </row>
    <row r="461" spans="1:15" x14ac:dyDescent="0.2">
      <c r="A461" s="64" t="str">
        <f ca="1">IF(ISERROR(MATCH(E461,Код_КЦСР,0)),"",INDIRECT(ADDRESS(MATCH(E461,Код_КЦСР,0)+1,2,,,"КЦСР")))</f>
        <v>Расходы на обеспечение функций органов местного самоуправления</v>
      </c>
      <c r="B461" s="26">
        <v>802</v>
      </c>
      <c r="C461" s="65" t="s">
        <v>70</v>
      </c>
      <c r="D461" s="65" t="s">
        <v>71</v>
      </c>
      <c r="E461" s="26" t="s">
        <v>402</v>
      </c>
      <c r="F461" s="26"/>
      <c r="G461" s="66">
        <f t="shared" si="93"/>
        <v>3346.5</v>
      </c>
      <c r="H461" s="66">
        <f t="shared" si="93"/>
        <v>0</v>
      </c>
      <c r="I461" s="67">
        <f t="shared" si="88"/>
        <v>3346.5</v>
      </c>
      <c r="J461" s="66">
        <f t="shared" si="93"/>
        <v>0</v>
      </c>
      <c r="K461" s="67">
        <f t="shared" si="84"/>
        <v>3346.5</v>
      </c>
      <c r="L461" s="66">
        <f t="shared" si="93"/>
        <v>0</v>
      </c>
      <c r="M461" s="67">
        <f t="shared" si="85"/>
        <v>3346.5</v>
      </c>
      <c r="N461" s="66">
        <f t="shared" si="93"/>
        <v>0</v>
      </c>
      <c r="O461" s="67">
        <f t="shared" si="79"/>
        <v>3346.5</v>
      </c>
    </row>
    <row r="462" spans="1:15" ht="49.5" x14ac:dyDescent="0.2">
      <c r="A462" s="64" t="str">
        <f ca="1">IF(ISERROR(MATCH(F462,Код_КВР,0)),"",INDIRECT(ADDRESS(MATCH(F462,Код_КВР,0)+1,2,,,"КВР")))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2" s="26">
        <v>802</v>
      </c>
      <c r="C462" s="65" t="s">
        <v>70</v>
      </c>
      <c r="D462" s="65" t="s">
        <v>71</v>
      </c>
      <c r="E462" s="26" t="s">
        <v>402</v>
      </c>
      <c r="F462" s="26">
        <v>100</v>
      </c>
      <c r="G462" s="66">
        <f t="shared" si="93"/>
        <v>3346.5</v>
      </c>
      <c r="H462" s="66">
        <f t="shared" si="93"/>
        <v>0</v>
      </c>
      <c r="I462" s="67">
        <f t="shared" si="88"/>
        <v>3346.5</v>
      </c>
      <c r="J462" s="66">
        <f t="shared" si="93"/>
        <v>0</v>
      </c>
      <c r="K462" s="67">
        <f t="shared" si="84"/>
        <v>3346.5</v>
      </c>
      <c r="L462" s="66">
        <f t="shared" si="93"/>
        <v>0</v>
      </c>
      <c r="M462" s="67">
        <f t="shared" si="85"/>
        <v>3346.5</v>
      </c>
      <c r="N462" s="66">
        <f t="shared" si="93"/>
        <v>0</v>
      </c>
      <c r="O462" s="67">
        <f t="shared" si="79"/>
        <v>3346.5</v>
      </c>
    </row>
    <row r="463" spans="1:15" x14ac:dyDescent="0.2">
      <c r="A463" s="64" t="str">
        <f ca="1">IF(ISERROR(MATCH(F463,Код_КВР,0)),"",INDIRECT(ADDRESS(MATCH(F463,Код_КВР,0)+1,2,,,"КВР")))</f>
        <v>Расходы на выплаты персоналу государственных (муниципальных) органов</v>
      </c>
      <c r="B463" s="26">
        <v>802</v>
      </c>
      <c r="C463" s="65" t="s">
        <v>70</v>
      </c>
      <c r="D463" s="65" t="s">
        <v>71</v>
      </c>
      <c r="E463" s="26" t="s">
        <v>402</v>
      </c>
      <c r="F463" s="26">
        <v>120</v>
      </c>
      <c r="G463" s="66">
        <f>2570.3+776.2</f>
        <v>3346.5</v>
      </c>
      <c r="H463" s="66"/>
      <c r="I463" s="67">
        <f t="shared" si="88"/>
        <v>3346.5</v>
      </c>
      <c r="J463" s="66"/>
      <c r="K463" s="67">
        <f t="shared" si="84"/>
        <v>3346.5</v>
      </c>
      <c r="L463" s="66"/>
      <c r="M463" s="67">
        <f t="shared" si="85"/>
        <v>3346.5</v>
      </c>
      <c r="N463" s="66"/>
      <c r="O463" s="67">
        <f t="shared" si="79"/>
        <v>3346.5</v>
      </c>
    </row>
    <row r="464" spans="1:15" ht="49.5" x14ac:dyDescent="0.2">
      <c r="A464" s="74" t="s">
        <v>39</v>
      </c>
      <c r="B464" s="26">
        <v>802</v>
      </c>
      <c r="C464" s="65" t="s">
        <v>70</v>
      </c>
      <c r="D464" s="65" t="s">
        <v>72</v>
      </c>
      <c r="E464" s="26"/>
      <c r="F464" s="26"/>
      <c r="G464" s="66">
        <f t="shared" ref="G464:N467" si="94">G465</f>
        <v>14385.6</v>
      </c>
      <c r="H464" s="66">
        <f t="shared" si="94"/>
        <v>0</v>
      </c>
      <c r="I464" s="67">
        <f t="shared" si="88"/>
        <v>14385.6</v>
      </c>
      <c r="J464" s="66">
        <f t="shared" si="94"/>
        <v>0</v>
      </c>
      <c r="K464" s="67">
        <f t="shared" si="84"/>
        <v>14385.6</v>
      </c>
      <c r="L464" s="66">
        <f t="shared" si="94"/>
        <v>0</v>
      </c>
      <c r="M464" s="67">
        <f t="shared" si="85"/>
        <v>14385.6</v>
      </c>
      <c r="N464" s="66">
        <f t="shared" si="94"/>
        <v>0</v>
      </c>
      <c r="O464" s="67">
        <f t="shared" si="79"/>
        <v>14385.6</v>
      </c>
    </row>
    <row r="465" spans="1:15" x14ac:dyDescent="0.2">
      <c r="A465" s="64" t="str">
        <f ca="1">IF(ISERROR(MATCH(E465,Код_КЦСР,0)),"",INDIRECT(ADDRESS(MATCH(E465,Код_КЦСР,0)+1,2,,,"КЦСР")))</f>
        <v>Расходы, не включенные в муниципальные программы города Череповца</v>
      </c>
      <c r="B465" s="26">
        <v>802</v>
      </c>
      <c r="C465" s="65" t="s">
        <v>70</v>
      </c>
      <c r="D465" s="65" t="s">
        <v>72</v>
      </c>
      <c r="E465" s="26" t="s">
        <v>399</v>
      </c>
      <c r="F465" s="26"/>
      <c r="G465" s="66">
        <f t="shared" si="94"/>
        <v>14385.6</v>
      </c>
      <c r="H465" s="66">
        <f t="shared" si="94"/>
        <v>0</v>
      </c>
      <c r="I465" s="67">
        <f t="shared" si="88"/>
        <v>14385.6</v>
      </c>
      <c r="J465" s="66">
        <f t="shared" si="94"/>
        <v>0</v>
      </c>
      <c r="K465" s="67">
        <f t="shared" si="84"/>
        <v>14385.6</v>
      </c>
      <c r="L465" s="66">
        <f t="shared" si="94"/>
        <v>0</v>
      </c>
      <c r="M465" s="67">
        <f t="shared" si="85"/>
        <v>14385.6</v>
      </c>
      <c r="N465" s="66">
        <f t="shared" si="94"/>
        <v>0</v>
      </c>
      <c r="O465" s="67">
        <f t="shared" si="79"/>
        <v>14385.6</v>
      </c>
    </row>
    <row r="466" spans="1:15" ht="33" x14ac:dyDescent="0.2">
      <c r="A466" s="64" t="str">
        <f ca="1">IF(ISERROR(MATCH(E466,Код_КЦСР,0)),"",INDIRECT(ADDRESS(MATCH(E466,Код_КЦСР,0)+1,2,,,"КЦСР")))</f>
        <v>Обеспечение деятельности представительного органа муниципального образования</v>
      </c>
      <c r="B466" s="26">
        <v>802</v>
      </c>
      <c r="C466" s="65" t="s">
        <v>70</v>
      </c>
      <c r="D466" s="65" t="s">
        <v>72</v>
      </c>
      <c r="E466" s="26" t="s">
        <v>407</v>
      </c>
      <c r="F466" s="26"/>
      <c r="G466" s="66">
        <f t="shared" si="94"/>
        <v>14385.6</v>
      </c>
      <c r="H466" s="66">
        <f t="shared" si="94"/>
        <v>0</v>
      </c>
      <c r="I466" s="67">
        <f t="shared" si="88"/>
        <v>14385.6</v>
      </c>
      <c r="J466" s="66">
        <f t="shared" si="94"/>
        <v>0</v>
      </c>
      <c r="K466" s="67">
        <f t="shared" si="84"/>
        <v>14385.6</v>
      </c>
      <c r="L466" s="66">
        <f t="shared" si="94"/>
        <v>0</v>
      </c>
      <c r="M466" s="67">
        <f t="shared" si="85"/>
        <v>14385.6</v>
      </c>
      <c r="N466" s="66">
        <f t="shared" si="94"/>
        <v>0</v>
      </c>
      <c r="O466" s="67">
        <f t="shared" si="79"/>
        <v>14385.6</v>
      </c>
    </row>
    <row r="467" spans="1:15" ht="33" x14ac:dyDescent="0.2">
      <c r="A467" s="64" t="str">
        <f ca="1">IF(ISERROR(MATCH(E467,Код_КЦСР,0)),"",INDIRECT(ADDRESS(MATCH(E467,Код_КЦСР,0)+1,2,,,"КЦСР")))</f>
        <v>Расходы на обеспечение функций представительного органа муниципального образования</v>
      </c>
      <c r="B467" s="26">
        <v>802</v>
      </c>
      <c r="C467" s="65" t="s">
        <v>70</v>
      </c>
      <c r="D467" s="65" t="s">
        <v>72</v>
      </c>
      <c r="E467" s="26" t="s">
        <v>409</v>
      </c>
      <c r="F467" s="26"/>
      <c r="G467" s="66">
        <f t="shared" si="94"/>
        <v>14385.6</v>
      </c>
      <c r="H467" s="66">
        <f t="shared" si="94"/>
        <v>0</v>
      </c>
      <c r="I467" s="67">
        <f t="shared" si="88"/>
        <v>14385.6</v>
      </c>
      <c r="J467" s="66">
        <f t="shared" si="94"/>
        <v>0</v>
      </c>
      <c r="K467" s="67">
        <f t="shared" si="84"/>
        <v>14385.6</v>
      </c>
      <c r="L467" s="66">
        <f t="shared" si="94"/>
        <v>0</v>
      </c>
      <c r="M467" s="67">
        <f t="shared" si="85"/>
        <v>14385.6</v>
      </c>
      <c r="N467" s="66">
        <f t="shared" si="94"/>
        <v>0</v>
      </c>
      <c r="O467" s="67">
        <f t="shared" ref="O467:O530" si="95">M467+N467</f>
        <v>14385.6</v>
      </c>
    </row>
    <row r="468" spans="1:15" x14ac:dyDescent="0.2">
      <c r="A468" s="64" t="str">
        <f ca="1">IF(ISERROR(MATCH(E468,Код_КЦСР,0)),"",INDIRECT(ADDRESS(MATCH(E468,Код_КЦСР,0)+1,2,,,"КЦСР")))</f>
        <v>Расходы на обеспечение функций органов местного самоуправления</v>
      </c>
      <c r="B468" s="26">
        <v>802</v>
      </c>
      <c r="C468" s="65" t="s">
        <v>70</v>
      </c>
      <c r="D468" s="65" t="s">
        <v>72</v>
      </c>
      <c r="E468" s="26" t="s">
        <v>410</v>
      </c>
      <c r="F468" s="26"/>
      <c r="G468" s="66">
        <f>G469+G471+G473</f>
        <v>14385.6</v>
      </c>
      <c r="H468" s="66">
        <f>H469+H471+H473</f>
        <v>0</v>
      </c>
      <c r="I468" s="67">
        <f t="shared" si="88"/>
        <v>14385.6</v>
      </c>
      <c r="J468" s="66">
        <f>J469+J471+J473</f>
        <v>0</v>
      </c>
      <c r="K468" s="67">
        <f t="shared" si="84"/>
        <v>14385.6</v>
      </c>
      <c r="L468" s="66">
        <f>L469+L471+L473</f>
        <v>0</v>
      </c>
      <c r="M468" s="67">
        <f t="shared" si="85"/>
        <v>14385.6</v>
      </c>
      <c r="N468" s="66">
        <f>N469+N471+N473</f>
        <v>0</v>
      </c>
      <c r="O468" s="67">
        <f t="shared" si="95"/>
        <v>14385.6</v>
      </c>
    </row>
    <row r="469" spans="1:15" ht="49.5" x14ac:dyDescent="0.2">
      <c r="A469" s="64" t="str">
        <f t="shared" ref="A469:A474" ca="1" si="96">IF(ISERROR(MATCH(F469,Код_КВР,0)),"",INDIRECT(ADDRESS(MATCH(F469,Код_КВР,0)+1,2,,,"КВР")))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9" s="26">
        <v>802</v>
      </c>
      <c r="C469" s="65" t="s">
        <v>70</v>
      </c>
      <c r="D469" s="65" t="s">
        <v>72</v>
      </c>
      <c r="E469" s="26" t="s">
        <v>410</v>
      </c>
      <c r="F469" s="26">
        <v>100</v>
      </c>
      <c r="G469" s="66">
        <f>G470</f>
        <v>13644</v>
      </c>
      <c r="H469" s="66">
        <f>H470</f>
        <v>0</v>
      </c>
      <c r="I469" s="67">
        <f t="shared" si="88"/>
        <v>13644</v>
      </c>
      <c r="J469" s="66">
        <f>J470</f>
        <v>0</v>
      </c>
      <c r="K469" s="67">
        <f t="shared" si="84"/>
        <v>13644</v>
      </c>
      <c r="L469" s="66">
        <f>L470</f>
        <v>0</v>
      </c>
      <c r="M469" s="67">
        <f t="shared" si="85"/>
        <v>13644</v>
      </c>
      <c r="N469" s="66">
        <f>N470</f>
        <v>0</v>
      </c>
      <c r="O469" s="67">
        <f t="shared" si="95"/>
        <v>13644</v>
      </c>
    </row>
    <row r="470" spans="1:15" x14ac:dyDescent="0.2">
      <c r="A470" s="64" t="str">
        <f t="shared" ca="1" si="96"/>
        <v>Расходы на выплаты персоналу государственных (муниципальных) органов</v>
      </c>
      <c r="B470" s="26">
        <v>802</v>
      </c>
      <c r="C470" s="65" t="s">
        <v>70</v>
      </c>
      <c r="D470" s="65" t="s">
        <v>72</v>
      </c>
      <c r="E470" s="26" t="s">
        <v>410</v>
      </c>
      <c r="F470" s="26">
        <v>120</v>
      </c>
      <c r="G470" s="67">
        <f>10041.3+575.6+3027.1</f>
        <v>13644</v>
      </c>
      <c r="H470" s="67"/>
      <c r="I470" s="67">
        <f t="shared" si="88"/>
        <v>13644</v>
      </c>
      <c r="J470" s="67"/>
      <c r="K470" s="67">
        <f t="shared" si="84"/>
        <v>13644</v>
      </c>
      <c r="L470" s="67"/>
      <c r="M470" s="67">
        <f t="shared" si="85"/>
        <v>13644</v>
      </c>
      <c r="N470" s="67"/>
      <c r="O470" s="67">
        <f t="shared" si="95"/>
        <v>13644</v>
      </c>
    </row>
    <row r="471" spans="1:15" ht="33" x14ac:dyDescent="0.2">
      <c r="A471" s="64" t="str">
        <f t="shared" ca="1" si="96"/>
        <v>Закупка товаров, работ и услуг для обеспечения государственных (муниципальных) нужд</v>
      </c>
      <c r="B471" s="26">
        <v>802</v>
      </c>
      <c r="C471" s="65" t="s">
        <v>70</v>
      </c>
      <c r="D471" s="65" t="s">
        <v>72</v>
      </c>
      <c r="E471" s="26" t="s">
        <v>410</v>
      </c>
      <c r="F471" s="26">
        <v>200</v>
      </c>
      <c r="G471" s="66">
        <f>G472</f>
        <v>741.1</v>
      </c>
      <c r="H471" s="66">
        <f>H472</f>
        <v>0</v>
      </c>
      <c r="I471" s="67">
        <f t="shared" si="88"/>
        <v>741.1</v>
      </c>
      <c r="J471" s="66">
        <f>J472</f>
        <v>0</v>
      </c>
      <c r="K471" s="67">
        <f t="shared" si="84"/>
        <v>741.1</v>
      </c>
      <c r="L471" s="66">
        <f>L472</f>
        <v>0</v>
      </c>
      <c r="M471" s="67">
        <f t="shared" si="85"/>
        <v>741.1</v>
      </c>
      <c r="N471" s="66">
        <f>N472</f>
        <v>0</v>
      </c>
      <c r="O471" s="67">
        <f t="shared" si="95"/>
        <v>741.1</v>
      </c>
    </row>
    <row r="472" spans="1:15" ht="33" x14ac:dyDescent="0.2">
      <c r="A472" s="64" t="str">
        <f t="shared" ca="1" si="96"/>
        <v>Иные закупки товаров, работ и услуг для обеспечения государственных (муниципальных) нужд</v>
      </c>
      <c r="B472" s="26">
        <v>802</v>
      </c>
      <c r="C472" s="65" t="s">
        <v>70</v>
      </c>
      <c r="D472" s="65" t="s">
        <v>72</v>
      </c>
      <c r="E472" s="26" t="s">
        <v>410</v>
      </c>
      <c r="F472" s="26">
        <v>240</v>
      </c>
      <c r="G472" s="66">
        <v>741.1</v>
      </c>
      <c r="H472" s="66"/>
      <c r="I472" s="67">
        <f t="shared" si="88"/>
        <v>741.1</v>
      </c>
      <c r="J472" s="66"/>
      <c r="K472" s="67">
        <f t="shared" si="84"/>
        <v>741.1</v>
      </c>
      <c r="L472" s="66"/>
      <c r="M472" s="67">
        <f t="shared" si="85"/>
        <v>741.1</v>
      </c>
      <c r="N472" s="66"/>
      <c r="O472" s="67">
        <f t="shared" si="95"/>
        <v>741.1</v>
      </c>
    </row>
    <row r="473" spans="1:15" x14ac:dyDescent="0.2">
      <c r="A473" s="64" t="str">
        <f t="shared" ca="1" si="96"/>
        <v>Иные бюджетные ассигнования</v>
      </c>
      <c r="B473" s="26">
        <v>802</v>
      </c>
      <c r="C473" s="65" t="s">
        <v>70</v>
      </c>
      <c r="D473" s="65" t="s">
        <v>72</v>
      </c>
      <c r="E473" s="26" t="s">
        <v>410</v>
      </c>
      <c r="F473" s="26">
        <v>800</v>
      </c>
      <c r="G473" s="66">
        <f>G474</f>
        <v>0.5</v>
      </c>
      <c r="H473" s="66">
        <f>H474</f>
        <v>0</v>
      </c>
      <c r="I473" s="67">
        <f t="shared" si="88"/>
        <v>0.5</v>
      </c>
      <c r="J473" s="66">
        <f>J474</f>
        <v>0</v>
      </c>
      <c r="K473" s="67">
        <f t="shared" si="84"/>
        <v>0.5</v>
      </c>
      <c r="L473" s="66">
        <f>L474</f>
        <v>0</v>
      </c>
      <c r="M473" s="67">
        <f t="shared" si="85"/>
        <v>0.5</v>
      </c>
      <c r="N473" s="66">
        <f>N474</f>
        <v>0</v>
      </c>
      <c r="O473" s="67">
        <f t="shared" si="95"/>
        <v>0.5</v>
      </c>
    </row>
    <row r="474" spans="1:15" x14ac:dyDescent="0.2">
      <c r="A474" s="64" t="str">
        <f t="shared" ca="1" si="96"/>
        <v>Уплата налогов, сборов и иных платежей</v>
      </c>
      <c r="B474" s="26">
        <v>802</v>
      </c>
      <c r="C474" s="65" t="s">
        <v>70</v>
      </c>
      <c r="D474" s="65" t="s">
        <v>72</v>
      </c>
      <c r="E474" s="26" t="s">
        <v>410</v>
      </c>
      <c r="F474" s="26">
        <v>850</v>
      </c>
      <c r="G474" s="67">
        <v>0.5</v>
      </c>
      <c r="H474" s="67"/>
      <c r="I474" s="67">
        <f t="shared" si="88"/>
        <v>0.5</v>
      </c>
      <c r="J474" s="67"/>
      <c r="K474" s="67">
        <f t="shared" si="84"/>
        <v>0.5</v>
      </c>
      <c r="L474" s="67"/>
      <c r="M474" s="67">
        <f t="shared" si="85"/>
        <v>0.5</v>
      </c>
      <c r="N474" s="67"/>
      <c r="O474" s="67">
        <f t="shared" si="95"/>
        <v>0.5</v>
      </c>
    </row>
    <row r="475" spans="1:15" hidden="1" x14ac:dyDescent="0.2">
      <c r="A475" s="45" t="s">
        <v>91</v>
      </c>
      <c r="B475" s="26">
        <v>802</v>
      </c>
      <c r="C475" s="65" t="s">
        <v>70</v>
      </c>
      <c r="D475" s="65" t="s">
        <v>55</v>
      </c>
      <c r="E475" s="26"/>
      <c r="F475" s="26"/>
      <c r="G475" s="67">
        <f t="shared" ref="G475:N479" si="97">G476</f>
        <v>0</v>
      </c>
      <c r="H475" s="67">
        <f t="shared" si="97"/>
        <v>0</v>
      </c>
      <c r="I475" s="67">
        <f t="shared" si="88"/>
        <v>0</v>
      </c>
      <c r="J475" s="67">
        <f t="shared" si="97"/>
        <v>0</v>
      </c>
      <c r="K475" s="67">
        <f t="shared" si="84"/>
        <v>0</v>
      </c>
      <c r="L475" s="67">
        <f t="shared" si="97"/>
        <v>0</v>
      </c>
      <c r="M475" s="67">
        <f t="shared" si="85"/>
        <v>0</v>
      </c>
      <c r="N475" s="67">
        <f t="shared" si="97"/>
        <v>0</v>
      </c>
      <c r="O475" s="67">
        <f t="shared" si="95"/>
        <v>0</v>
      </c>
    </row>
    <row r="476" spans="1:15" hidden="1" x14ac:dyDescent="0.2">
      <c r="A476" s="64" t="str">
        <f ca="1">IF(ISERROR(MATCH(E476,Код_КЦСР,0)),"",INDIRECT(ADDRESS(MATCH(E476,Код_КЦСР,0)+1,2,,,"КЦСР")))</f>
        <v>Расходы, не включенные в муниципальные программы города Череповца</v>
      </c>
      <c r="B476" s="26">
        <v>802</v>
      </c>
      <c r="C476" s="65" t="s">
        <v>70</v>
      </c>
      <c r="D476" s="65" t="s">
        <v>55</v>
      </c>
      <c r="E476" s="26" t="s">
        <v>399</v>
      </c>
      <c r="F476" s="26"/>
      <c r="G476" s="67">
        <f t="shared" si="97"/>
        <v>0</v>
      </c>
      <c r="H476" s="67">
        <f t="shared" si="97"/>
        <v>0</v>
      </c>
      <c r="I476" s="67">
        <f t="shared" si="88"/>
        <v>0</v>
      </c>
      <c r="J476" s="67">
        <f t="shared" si="97"/>
        <v>0</v>
      </c>
      <c r="K476" s="67">
        <f t="shared" si="84"/>
        <v>0</v>
      </c>
      <c r="L476" s="67">
        <f t="shared" si="97"/>
        <v>0</v>
      </c>
      <c r="M476" s="67">
        <f t="shared" si="85"/>
        <v>0</v>
      </c>
      <c r="N476" s="67">
        <f t="shared" si="97"/>
        <v>0</v>
      </c>
      <c r="O476" s="67">
        <f t="shared" si="95"/>
        <v>0</v>
      </c>
    </row>
    <row r="477" spans="1:15" ht="33" hidden="1" x14ac:dyDescent="0.2">
      <c r="A477" s="64" t="str">
        <f ca="1">IF(ISERROR(MATCH(E477,Код_КЦСР,0)),"",INDIRECT(ADDRESS(MATCH(E477,Код_КЦСР,0)+1,2,,,"КЦСР")))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477" s="26">
        <v>802</v>
      </c>
      <c r="C477" s="65" t="s">
        <v>70</v>
      </c>
      <c r="D477" s="65" t="s">
        <v>55</v>
      </c>
      <c r="E477" s="26" t="s">
        <v>415</v>
      </c>
      <c r="F477" s="26"/>
      <c r="G477" s="67">
        <f t="shared" si="97"/>
        <v>0</v>
      </c>
      <c r="H477" s="67">
        <f t="shared" si="97"/>
        <v>0</v>
      </c>
      <c r="I477" s="67">
        <f t="shared" si="88"/>
        <v>0</v>
      </c>
      <c r="J477" s="67">
        <f t="shared" si="97"/>
        <v>0</v>
      </c>
      <c r="K477" s="67">
        <f t="shared" si="84"/>
        <v>0</v>
      </c>
      <c r="L477" s="67">
        <f t="shared" si="97"/>
        <v>0</v>
      </c>
      <c r="M477" s="67">
        <f t="shared" si="85"/>
        <v>0</v>
      </c>
      <c r="N477" s="67">
        <f t="shared" si="97"/>
        <v>0</v>
      </c>
      <c r="O477" s="67">
        <f t="shared" si="95"/>
        <v>0</v>
      </c>
    </row>
    <row r="478" spans="1:15" hidden="1" x14ac:dyDescent="0.2">
      <c r="A478" s="64" t="str">
        <f ca="1">IF(ISERROR(MATCH(E478,Код_КЦСР,0)),"",INDIRECT(ADDRESS(MATCH(E478,Код_КЦСР,0)+1,2,,,"КЦСР")))</f>
        <v>Расходы на судебные издержки и исполнение судебных решений</v>
      </c>
      <c r="B478" s="26">
        <v>802</v>
      </c>
      <c r="C478" s="65" t="s">
        <v>70</v>
      </c>
      <c r="D478" s="65" t="s">
        <v>55</v>
      </c>
      <c r="E478" s="26" t="s">
        <v>416</v>
      </c>
      <c r="F478" s="26"/>
      <c r="G478" s="67">
        <f t="shared" si="97"/>
        <v>0</v>
      </c>
      <c r="H478" s="67">
        <f t="shared" si="97"/>
        <v>0</v>
      </c>
      <c r="I478" s="67">
        <f t="shared" si="88"/>
        <v>0</v>
      </c>
      <c r="J478" s="67">
        <f t="shared" si="97"/>
        <v>0</v>
      </c>
      <c r="K478" s="67">
        <f t="shared" si="84"/>
        <v>0</v>
      </c>
      <c r="L478" s="67">
        <f t="shared" si="97"/>
        <v>0</v>
      </c>
      <c r="M478" s="67">
        <f t="shared" si="85"/>
        <v>0</v>
      </c>
      <c r="N478" s="67">
        <f t="shared" si="97"/>
        <v>0</v>
      </c>
      <c r="O478" s="67">
        <f t="shared" si="95"/>
        <v>0</v>
      </c>
    </row>
    <row r="479" spans="1:15" hidden="1" x14ac:dyDescent="0.2">
      <c r="A479" s="64" t="str">
        <f ca="1">IF(ISERROR(MATCH(F479,Код_КВР,0)),"",INDIRECT(ADDRESS(MATCH(F479,Код_КВР,0)+1,2,,,"КВР")))</f>
        <v>Иные бюджетные ассигнования</v>
      </c>
      <c r="B479" s="26">
        <v>802</v>
      </c>
      <c r="C479" s="65" t="s">
        <v>70</v>
      </c>
      <c r="D479" s="65" t="s">
        <v>55</v>
      </c>
      <c r="E479" s="26" t="s">
        <v>416</v>
      </c>
      <c r="F479" s="26">
        <v>800</v>
      </c>
      <c r="G479" s="67">
        <f t="shared" si="97"/>
        <v>0</v>
      </c>
      <c r="H479" s="67">
        <f t="shared" si="97"/>
        <v>0</v>
      </c>
      <c r="I479" s="67">
        <f t="shared" si="88"/>
        <v>0</v>
      </c>
      <c r="J479" s="67">
        <f t="shared" si="97"/>
        <v>0</v>
      </c>
      <c r="K479" s="67">
        <f t="shared" si="84"/>
        <v>0</v>
      </c>
      <c r="L479" s="67">
        <f t="shared" si="97"/>
        <v>0</v>
      </c>
      <c r="M479" s="67">
        <f t="shared" si="85"/>
        <v>0</v>
      </c>
      <c r="N479" s="67">
        <f t="shared" si="97"/>
        <v>0</v>
      </c>
      <c r="O479" s="67">
        <f t="shared" si="95"/>
        <v>0</v>
      </c>
    </row>
    <row r="480" spans="1:15" hidden="1" x14ac:dyDescent="0.2">
      <c r="A480" s="64" t="str">
        <f ca="1">IF(ISERROR(MATCH(F480,Код_КВР,0)),"",INDIRECT(ADDRESS(MATCH(F480,Код_КВР,0)+1,2,,,"КВР")))</f>
        <v>Исполнение судебных актов</v>
      </c>
      <c r="B480" s="26">
        <v>802</v>
      </c>
      <c r="C480" s="65" t="s">
        <v>70</v>
      </c>
      <c r="D480" s="65" t="s">
        <v>55</v>
      </c>
      <c r="E480" s="26" t="s">
        <v>416</v>
      </c>
      <c r="F480" s="26">
        <v>830</v>
      </c>
      <c r="G480" s="67"/>
      <c r="H480" s="67"/>
      <c r="I480" s="67">
        <f t="shared" si="88"/>
        <v>0</v>
      </c>
      <c r="J480" s="67"/>
      <c r="K480" s="67">
        <f t="shared" si="84"/>
        <v>0</v>
      </c>
      <c r="L480" s="67"/>
      <c r="M480" s="67">
        <f t="shared" si="85"/>
        <v>0</v>
      </c>
      <c r="N480" s="67"/>
      <c r="O480" s="67">
        <f t="shared" si="95"/>
        <v>0</v>
      </c>
    </row>
    <row r="481" spans="1:15" x14ac:dyDescent="0.2">
      <c r="A481" s="64" t="str">
        <f ca="1">IF(ISERROR(MATCH(C481,Код_Раздел,0)),"",INDIRECT(ADDRESS(MATCH(C481,Код_Раздел,0)+1,2,,,"Раздел")))</f>
        <v>Образование</v>
      </c>
      <c r="B481" s="26">
        <v>802</v>
      </c>
      <c r="C481" s="65" t="s">
        <v>60</v>
      </c>
      <c r="D481" s="65"/>
      <c r="E481" s="26"/>
      <c r="F481" s="26"/>
      <c r="G481" s="67">
        <f t="shared" ref="G481:N485" si="98">G482</f>
        <v>171.3</v>
      </c>
      <c r="H481" s="67">
        <f t="shared" si="98"/>
        <v>0</v>
      </c>
      <c r="I481" s="67">
        <f t="shared" si="88"/>
        <v>171.3</v>
      </c>
      <c r="J481" s="67">
        <f t="shared" si="98"/>
        <v>0</v>
      </c>
      <c r="K481" s="67">
        <f t="shared" si="84"/>
        <v>171.3</v>
      </c>
      <c r="L481" s="67">
        <f t="shared" si="98"/>
        <v>0</v>
      </c>
      <c r="M481" s="67">
        <f t="shared" si="85"/>
        <v>171.3</v>
      </c>
      <c r="N481" s="67">
        <f t="shared" si="98"/>
        <v>0</v>
      </c>
      <c r="O481" s="67">
        <f t="shared" si="95"/>
        <v>171.3</v>
      </c>
    </row>
    <row r="482" spans="1:15" x14ac:dyDescent="0.2">
      <c r="A482" s="45" t="s">
        <v>532</v>
      </c>
      <c r="B482" s="26">
        <v>802</v>
      </c>
      <c r="C482" s="65" t="s">
        <v>60</v>
      </c>
      <c r="D482" s="65" t="s">
        <v>78</v>
      </c>
      <c r="E482" s="26"/>
      <c r="F482" s="26"/>
      <c r="G482" s="67">
        <f t="shared" si="98"/>
        <v>171.3</v>
      </c>
      <c r="H482" s="67">
        <f t="shared" si="98"/>
        <v>0</v>
      </c>
      <c r="I482" s="67">
        <f t="shared" si="88"/>
        <v>171.3</v>
      </c>
      <c r="J482" s="67">
        <f t="shared" si="98"/>
        <v>0</v>
      </c>
      <c r="K482" s="67">
        <f t="shared" si="84"/>
        <v>171.3</v>
      </c>
      <c r="L482" s="67">
        <f t="shared" si="98"/>
        <v>0</v>
      </c>
      <c r="M482" s="67">
        <f t="shared" si="85"/>
        <v>171.3</v>
      </c>
      <c r="N482" s="67">
        <f t="shared" si="98"/>
        <v>0</v>
      </c>
      <c r="O482" s="67">
        <f t="shared" si="95"/>
        <v>171.3</v>
      </c>
    </row>
    <row r="483" spans="1:15" x14ac:dyDescent="0.2">
      <c r="A483" s="64" t="str">
        <f ca="1">IF(ISERROR(MATCH(E483,Код_КЦСР,0)),"",INDIRECT(ADDRESS(MATCH(E483,Код_КЦСР,0)+1,2,,,"КЦСР")))</f>
        <v>Расходы, не включенные в муниципальные программы города Череповца</v>
      </c>
      <c r="B483" s="26">
        <v>802</v>
      </c>
      <c r="C483" s="65" t="s">
        <v>60</v>
      </c>
      <c r="D483" s="65" t="s">
        <v>78</v>
      </c>
      <c r="E483" s="26" t="s">
        <v>399</v>
      </c>
      <c r="F483" s="26"/>
      <c r="G483" s="67">
        <f t="shared" si="98"/>
        <v>171.3</v>
      </c>
      <c r="H483" s="67">
        <f t="shared" si="98"/>
        <v>0</v>
      </c>
      <c r="I483" s="67">
        <f t="shared" si="88"/>
        <v>171.3</v>
      </c>
      <c r="J483" s="67">
        <f t="shared" si="98"/>
        <v>0</v>
      </c>
      <c r="K483" s="67">
        <f t="shared" si="84"/>
        <v>171.3</v>
      </c>
      <c r="L483" s="67">
        <f t="shared" si="98"/>
        <v>0</v>
      </c>
      <c r="M483" s="67">
        <f t="shared" si="85"/>
        <v>171.3</v>
      </c>
      <c r="N483" s="67">
        <f t="shared" si="98"/>
        <v>0</v>
      </c>
      <c r="O483" s="67">
        <f t="shared" si="95"/>
        <v>171.3</v>
      </c>
    </row>
    <row r="484" spans="1:15" ht="33" x14ac:dyDescent="0.2">
      <c r="A484" s="64" t="str">
        <f ca="1">IF(ISERROR(MATCH(E484,Код_КЦСР,0)),"",INDIRECT(ADDRESS(MATCH(E484,Код_КЦСР,0)+1,2,,,"КЦСР")))</f>
        <v>Обеспечение деятельности представительного органа муниципального образования</v>
      </c>
      <c r="B484" s="26">
        <v>802</v>
      </c>
      <c r="C484" s="65" t="s">
        <v>60</v>
      </c>
      <c r="D484" s="65" t="s">
        <v>78</v>
      </c>
      <c r="E484" s="26" t="s">
        <v>407</v>
      </c>
      <c r="F484" s="26"/>
      <c r="G484" s="67">
        <f t="shared" si="98"/>
        <v>171.3</v>
      </c>
      <c r="H484" s="67">
        <f t="shared" si="98"/>
        <v>0</v>
      </c>
      <c r="I484" s="67">
        <f t="shared" si="88"/>
        <v>171.3</v>
      </c>
      <c r="J484" s="67">
        <f t="shared" si="98"/>
        <v>0</v>
      </c>
      <c r="K484" s="67">
        <f t="shared" si="84"/>
        <v>171.3</v>
      </c>
      <c r="L484" s="67">
        <f t="shared" si="98"/>
        <v>0</v>
      </c>
      <c r="M484" s="67">
        <f t="shared" si="85"/>
        <v>171.3</v>
      </c>
      <c r="N484" s="67">
        <f t="shared" si="98"/>
        <v>0</v>
      </c>
      <c r="O484" s="67">
        <f t="shared" si="95"/>
        <v>171.3</v>
      </c>
    </row>
    <row r="485" spans="1:15" ht="33" x14ac:dyDescent="0.2">
      <c r="A485" s="64" t="str">
        <f ca="1">IF(ISERROR(MATCH(E485,Код_КЦСР,0)),"",INDIRECT(ADDRESS(MATCH(E485,Код_КЦСР,0)+1,2,,,"КЦСР")))</f>
        <v>Расходы на обеспечение функций представительного органа муниципального образования</v>
      </c>
      <c r="B485" s="26">
        <v>802</v>
      </c>
      <c r="C485" s="65" t="s">
        <v>60</v>
      </c>
      <c r="D485" s="65" t="s">
        <v>78</v>
      </c>
      <c r="E485" s="26" t="s">
        <v>409</v>
      </c>
      <c r="F485" s="26"/>
      <c r="G485" s="67">
        <f t="shared" si="98"/>
        <v>171.3</v>
      </c>
      <c r="H485" s="67">
        <f t="shared" si="98"/>
        <v>0</v>
      </c>
      <c r="I485" s="67">
        <f t="shared" si="88"/>
        <v>171.3</v>
      </c>
      <c r="J485" s="67">
        <f t="shared" si="98"/>
        <v>0</v>
      </c>
      <c r="K485" s="67">
        <f t="shared" si="84"/>
        <v>171.3</v>
      </c>
      <c r="L485" s="67">
        <f t="shared" si="98"/>
        <v>0</v>
      </c>
      <c r="M485" s="67">
        <f t="shared" si="85"/>
        <v>171.3</v>
      </c>
      <c r="N485" s="67">
        <f t="shared" si="98"/>
        <v>0</v>
      </c>
      <c r="O485" s="67">
        <f t="shared" si="95"/>
        <v>171.3</v>
      </c>
    </row>
    <row r="486" spans="1:15" x14ac:dyDescent="0.2">
      <c r="A486" s="64" t="str">
        <f ca="1">IF(ISERROR(MATCH(E486,Код_КЦСР,0)),"",INDIRECT(ADDRESS(MATCH(E486,Код_КЦСР,0)+1,2,,,"КЦСР")))</f>
        <v>Расходы на обеспечение функций органов местного самоуправления</v>
      </c>
      <c r="B486" s="26">
        <v>802</v>
      </c>
      <c r="C486" s="65" t="s">
        <v>60</v>
      </c>
      <c r="D486" s="65" t="s">
        <v>78</v>
      </c>
      <c r="E486" s="26" t="s">
        <v>410</v>
      </c>
      <c r="F486" s="26"/>
      <c r="G486" s="89">
        <f t="shared" ref="G486:N487" si="99">G487</f>
        <v>171.3</v>
      </c>
      <c r="H486" s="89">
        <f t="shared" si="99"/>
        <v>0</v>
      </c>
      <c r="I486" s="67">
        <f t="shared" si="88"/>
        <v>171.3</v>
      </c>
      <c r="J486" s="89">
        <f t="shared" si="99"/>
        <v>0</v>
      </c>
      <c r="K486" s="67">
        <f t="shared" ref="K486:K557" si="100">I486+J486</f>
        <v>171.3</v>
      </c>
      <c r="L486" s="89">
        <f t="shared" si="99"/>
        <v>0</v>
      </c>
      <c r="M486" s="67">
        <f t="shared" ref="M486:M557" si="101">K486+L486</f>
        <v>171.3</v>
      </c>
      <c r="N486" s="89">
        <f t="shared" si="99"/>
        <v>0</v>
      </c>
      <c r="O486" s="67">
        <f t="shared" si="95"/>
        <v>171.3</v>
      </c>
    </row>
    <row r="487" spans="1:15" ht="33" x14ac:dyDescent="0.2">
      <c r="A487" s="64" t="str">
        <f ca="1">IF(ISERROR(MATCH(F487,Код_КВР,0)),"",INDIRECT(ADDRESS(MATCH(F487,Код_КВР,0)+1,2,,,"КВР")))</f>
        <v>Закупка товаров, работ и услуг для обеспечения государственных (муниципальных) нужд</v>
      </c>
      <c r="B487" s="26">
        <v>802</v>
      </c>
      <c r="C487" s="65" t="s">
        <v>60</v>
      </c>
      <c r="D487" s="65" t="s">
        <v>78</v>
      </c>
      <c r="E487" s="26" t="s">
        <v>410</v>
      </c>
      <c r="F487" s="26">
        <v>200</v>
      </c>
      <c r="G487" s="89">
        <f t="shared" si="99"/>
        <v>171.3</v>
      </c>
      <c r="H487" s="89">
        <f t="shared" si="99"/>
        <v>0</v>
      </c>
      <c r="I487" s="67">
        <f t="shared" si="88"/>
        <v>171.3</v>
      </c>
      <c r="J487" s="89">
        <f t="shared" si="99"/>
        <v>0</v>
      </c>
      <c r="K487" s="67">
        <f t="shared" si="100"/>
        <v>171.3</v>
      </c>
      <c r="L487" s="89">
        <f t="shared" si="99"/>
        <v>0</v>
      </c>
      <c r="M487" s="67">
        <f t="shared" si="101"/>
        <v>171.3</v>
      </c>
      <c r="N487" s="89">
        <f t="shared" si="99"/>
        <v>0</v>
      </c>
      <c r="O487" s="67">
        <f t="shared" si="95"/>
        <v>171.3</v>
      </c>
    </row>
    <row r="488" spans="1:15" ht="33" x14ac:dyDescent="0.2">
      <c r="A488" s="64" t="str">
        <f ca="1">IF(ISERROR(MATCH(F488,Код_КВР,0)),"",INDIRECT(ADDRESS(MATCH(F488,Код_КВР,0)+1,2,,,"КВР")))</f>
        <v>Иные закупки товаров, работ и услуг для обеспечения государственных (муниципальных) нужд</v>
      </c>
      <c r="B488" s="26">
        <v>802</v>
      </c>
      <c r="C488" s="65" t="s">
        <v>60</v>
      </c>
      <c r="D488" s="65" t="s">
        <v>78</v>
      </c>
      <c r="E488" s="26" t="s">
        <v>410</v>
      </c>
      <c r="F488" s="26">
        <v>240</v>
      </c>
      <c r="G488" s="89">
        <v>171.3</v>
      </c>
      <c r="H488" s="89"/>
      <c r="I488" s="67">
        <f t="shared" si="88"/>
        <v>171.3</v>
      </c>
      <c r="J488" s="89"/>
      <c r="K488" s="67">
        <f t="shared" si="100"/>
        <v>171.3</v>
      </c>
      <c r="L488" s="89"/>
      <c r="M488" s="67">
        <f t="shared" si="101"/>
        <v>171.3</v>
      </c>
      <c r="N488" s="89"/>
      <c r="O488" s="67">
        <f t="shared" si="95"/>
        <v>171.3</v>
      </c>
    </row>
    <row r="489" spans="1:15" ht="33" x14ac:dyDescent="0.2">
      <c r="A489" s="64" t="str">
        <f ca="1">IF(ISERROR(MATCH(B489,Код_ППП,0)),"",INDIRECT(ADDRESS(MATCH(B489,Код_ППП,0)+1,2,,,"ППП")))</f>
        <v>ДЕПАРТАМЕНТ ЖИЛИЩНО-КОММУНАЛЬНОГО ХОЗЯЙСТВА МЭРИИ ГОРОДА</v>
      </c>
      <c r="B489" s="26">
        <v>803</v>
      </c>
      <c r="C489" s="65"/>
      <c r="D489" s="65"/>
      <c r="E489" s="26"/>
      <c r="F489" s="26"/>
      <c r="G489" s="66">
        <f>G490+G497+G538+G596+G602+G610</f>
        <v>544588.1</v>
      </c>
      <c r="H489" s="66">
        <f>H490+H497+H538+H596+H602+H610</f>
        <v>0</v>
      </c>
      <c r="I489" s="67">
        <f t="shared" si="88"/>
        <v>544588.1</v>
      </c>
      <c r="J489" s="66">
        <f>J490+J497+J538+J596+J602+J610</f>
        <v>0</v>
      </c>
      <c r="K489" s="67">
        <f t="shared" si="100"/>
        <v>544588.1</v>
      </c>
      <c r="L489" s="66">
        <f>L490+L497+L538+L596+L602+L610</f>
        <v>287597.09999999998</v>
      </c>
      <c r="M489" s="67">
        <f t="shared" si="101"/>
        <v>832185.2</v>
      </c>
      <c r="N489" s="66">
        <f>N490+N497+N538+N596+N602+N610</f>
        <v>108086.39999999999</v>
      </c>
      <c r="O489" s="67">
        <f t="shared" si="95"/>
        <v>940271.6</v>
      </c>
    </row>
    <row r="490" spans="1:15" x14ac:dyDescent="0.2">
      <c r="A490" s="64" t="str">
        <f ca="1">IF(ISERROR(MATCH(C490,Код_Раздел,0)),"",INDIRECT(ADDRESS(MATCH(C490,Код_Раздел,0)+1,2,,,"Раздел")))</f>
        <v>Общегосударственные вопросы</v>
      </c>
      <c r="B490" s="26">
        <v>803</v>
      </c>
      <c r="C490" s="65" t="s">
        <v>70</v>
      </c>
      <c r="D490" s="65"/>
      <c r="E490" s="26"/>
      <c r="F490" s="26"/>
      <c r="G490" s="66">
        <f t="shared" ref="G490:N495" si="102">G491</f>
        <v>50</v>
      </c>
      <c r="H490" s="66">
        <f t="shared" si="102"/>
        <v>0</v>
      </c>
      <c r="I490" s="67">
        <f t="shared" si="88"/>
        <v>50</v>
      </c>
      <c r="J490" s="66">
        <f t="shared" si="102"/>
        <v>0</v>
      </c>
      <c r="K490" s="67">
        <f t="shared" si="100"/>
        <v>50</v>
      </c>
      <c r="L490" s="66">
        <f t="shared" si="102"/>
        <v>0</v>
      </c>
      <c r="M490" s="67">
        <f t="shared" si="101"/>
        <v>50</v>
      </c>
      <c r="N490" s="66">
        <f t="shared" si="102"/>
        <v>0</v>
      </c>
      <c r="O490" s="67">
        <f t="shared" si="95"/>
        <v>50</v>
      </c>
    </row>
    <row r="491" spans="1:15" x14ac:dyDescent="0.2">
      <c r="A491" s="74" t="s">
        <v>91</v>
      </c>
      <c r="B491" s="26">
        <v>803</v>
      </c>
      <c r="C491" s="65" t="s">
        <v>70</v>
      </c>
      <c r="D491" s="65" t="s">
        <v>55</v>
      </c>
      <c r="E491" s="26"/>
      <c r="F491" s="26"/>
      <c r="G491" s="66">
        <f t="shared" si="102"/>
        <v>50</v>
      </c>
      <c r="H491" s="66">
        <f t="shared" si="102"/>
        <v>0</v>
      </c>
      <c r="I491" s="67">
        <f t="shared" si="88"/>
        <v>50</v>
      </c>
      <c r="J491" s="66">
        <f t="shared" si="102"/>
        <v>0</v>
      </c>
      <c r="K491" s="67">
        <f t="shared" si="100"/>
        <v>50</v>
      </c>
      <c r="L491" s="66">
        <f t="shared" si="102"/>
        <v>0</v>
      </c>
      <c r="M491" s="67">
        <f t="shared" si="101"/>
        <v>50</v>
      </c>
      <c r="N491" s="66">
        <f t="shared" si="102"/>
        <v>0</v>
      </c>
      <c r="O491" s="67">
        <f t="shared" si="95"/>
        <v>50</v>
      </c>
    </row>
    <row r="492" spans="1:15" ht="33" x14ac:dyDescent="0.2">
      <c r="A492" s="64" t="str">
        <f ca="1">IF(ISERROR(MATCH(E492,Код_КЦСР,0)),"",INDIRECT(ADDRESS(MATCH(E492,Код_КЦСР,0)+1,2,,,"КЦСР")))</f>
        <v>Муниципальная программа «Развитие жилищно-коммунального хозяйства города Череповца» на 2014 – 2020 годы</v>
      </c>
      <c r="B492" s="26">
        <v>803</v>
      </c>
      <c r="C492" s="65" t="s">
        <v>70</v>
      </c>
      <c r="D492" s="65" t="s">
        <v>55</v>
      </c>
      <c r="E492" s="26" t="s">
        <v>341</v>
      </c>
      <c r="F492" s="26"/>
      <c r="G492" s="66">
        <f t="shared" si="102"/>
        <v>50</v>
      </c>
      <c r="H492" s="66">
        <f t="shared" si="102"/>
        <v>0</v>
      </c>
      <c r="I492" s="67">
        <f t="shared" si="88"/>
        <v>50</v>
      </c>
      <c r="J492" s="66">
        <f t="shared" si="102"/>
        <v>0</v>
      </c>
      <c r="K492" s="67">
        <f t="shared" si="100"/>
        <v>50</v>
      </c>
      <c r="L492" s="66">
        <f t="shared" si="102"/>
        <v>0</v>
      </c>
      <c r="M492" s="67">
        <f t="shared" si="101"/>
        <v>50</v>
      </c>
      <c r="N492" s="66">
        <f t="shared" si="102"/>
        <v>0</v>
      </c>
      <c r="O492" s="67">
        <f t="shared" si="95"/>
        <v>50</v>
      </c>
    </row>
    <row r="493" spans="1:15" x14ac:dyDescent="0.2">
      <c r="A493" s="64" t="str">
        <f ca="1">IF(ISERROR(MATCH(E493,Код_КЦСР,0)),"",INDIRECT(ADDRESS(MATCH(E493,Код_КЦСР,0)+1,2,,,"КЦСР")))</f>
        <v>Развитие благоустройства города</v>
      </c>
      <c r="B493" s="26">
        <v>803</v>
      </c>
      <c r="C493" s="65" t="s">
        <v>70</v>
      </c>
      <c r="D493" s="65" t="s">
        <v>55</v>
      </c>
      <c r="E493" s="26" t="s">
        <v>342</v>
      </c>
      <c r="F493" s="26"/>
      <c r="G493" s="66">
        <f t="shared" si="102"/>
        <v>50</v>
      </c>
      <c r="H493" s="66">
        <f t="shared" si="102"/>
        <v>0</v>
      </c>
      <c r="I493" s="67">
        <f t="shared" si="88"/>
        <v>50</v>
      </c>
      <c r="J493" s="66">
        <f t="shared" si="102"/>
        <v>0</v>
      </c>
      <c r="K493" s="67">
        <f t="shared" si="100"/>
        <v>50</v>
      </c>
      <c r="L493" s="66">
        <f t="shared" si="102"/>
        <v>0</v>
      </c>
      <c r="M493" s="67">
        <f t="shared" si="101"/>
        <v>50</v>
      </c>
      <c r="N493" s="66">
        <f t="shared" si="102"/>
        <v>0</v>
      </c>
      <c r="O493" s="67">
        <f t="shared" si="95"/>
        <v>50</v>
      </c>
    </row>
    <row r="494" spans="1:15" ht="33" x14ac:dyDescent="0.2">
      <c r="A494" s="64" t="str">
        <f ca="1">IF(ISERROR(MATCH(E494,Код_КЦСР,0)),"",INDIRECT(ADDRESS(MATCH(E494,Код_КЦСР,0)+1,2,,,"КЦСР")))</f>
        <v>Мероприятия по решению общегосударственных вопросов и вопросов в области национальной политики</v>
      </c>
      <c r="B494" s="26">
        <v>803</v>
      </c>
      <c r="C494" s="65" t="s">
        <v>70</v>
      </c>
      <c r="D494" s="65" t="s">
        <v>55</v>
      </c>
      <c r="E494" s="26" t="s">
        <v>347</v>
      </c>
      <c r="F494" s="26"/>
      <c r="G494" s="66">
        <f t="shared" si="102"/>
        <v>50</v>
      </c>
      <c r="H494" s="66">
        <f t="shared" si="102"/>
        <v>0</v>
      </c>
      <c r="I494" s="67">
        <f t="shared" si="88"/>
        <v>50</v>
      </c>
      <c r="J494" s="66">
        <f t="shared" si="102"/>
        <v>0</v>
      </c>
      <c r="K494" s="67">
        <f t="shared" si="100"/>
        <v>50</v>
      </c>
      <c r="L494" s="66">
        <f t="shared" si="102"/>
        <v>0</v>
      </c>
      <c r="M494" s="67">
        <f t="shared" si="101"/>
        <v>50</v>
      </c>
      <c r="N494" s="66">
        <f t="shared" si="102"/>
        <v>0</v>
      </c>
      <c r="O494" s="67">
        <f t="shared" si="95"/>
        <v>50</v>
      </c>
    </row>
    <row r="495" spans="1:15" ht="33" x14ac:dyDescent="0.2">
      <c r="A495" s="64" t="str">
        <f ca="1">IF(ISERROR(MATCH(F495,Код_КВР,0)),"",INDIRECT(ADDRESS(MATCH(F495,Код_КВР,0)+1,2,,,"КВР")))</f>
        <v>Закупка товаров, работ и услуг для обеспечения государственных (муниципальных) нужд</v>
      </c>
      <c r="B495" s="26">
        <v>803</v>
      </c>
      <c r="C495" s="65" t="s">
        <v>70</v>
      </c>
      <c r="D495" s="65" t="s">
        <v>55</v>
      </c>
      <c r="E495" s="26" t="s">
        <v>347</v>
      </c>
      <c r="F495" s="26">
        <v>200</v>
      </c>
      <c r="G495" s="66">
        <f t="shared" si="102"/>
        <v>50</v>
      </c>
      <c r="H495" s="66">
        <f t="shared" si="102"/>
        <v>0</v>
      </c>
      <c r="I495" s="67">
        <f t="shared" si="88"/>
        <v>50</v>
      </c>
      <c r="J495" s="66">
        <f t="shared" si="102"/>
        <v>0</v>
      </c>
      <c r="K495" s="67">
        <f t="shared" si="100"/>
        <v>50</v>
      </c>
      <c r="L495" s="66">
        <f t="shared" si="102"/>
        <v>0</v>
      </c>
      <c r="M495" s="67">
        <f t="shared" si="101"/>
        <v>50</v>
      </c>
      <c r="N495" s="66">
        <f t="shared" si="102"/>
        <v>0</v>
      </c>
      <c r="O495" s="67">
        <f t="shared" si="95"/>
        <v>50</v>
      </c>
    </row>
    <row r="496" spans="1:15" ht="33" x14ac:dyDescent="0.2">
      <c r="A496" s="64" t="str">
        <f ca="1">IF(ISERROR(MATCH(F496,Код_КВР,0)),"",INDIRECT(ADDRESS(MATCH(F496,Код_КВР,0)+1,2,,,"КВР")))</f>
        <v>Иные закупки товаров, работ и услуг для обеспечения государственных (муниципальных) нужд</v>
      </c>
      <c r="B496" s="26">
        <v>803</v>
      </c>
      <c r="C496" s="65" t="s">
        <v>70</v>
      </c>
      <c r="D496" s="65" t="s">
        <v>55</v>
      </c>
      <c r="E496" s="26" t="s">
        <v>347</v>
      </c>
      <c r="F496" s="26">
        <v>240</v>
      </c>
      <c r="G496" s="66">
        <v>50</v>
      </c>
      <c r="H496" s="66"/>
      <c r="I496" s="67">
        <f t="shared" si="88"/>
        <v>50</v>
      </c>
      <c r="J496" s="66"/>
      <c r="K496" s="67">
        <f t="shared" si="100"/>
        <v>50</v>
      </c>
      <c r="L496" s="66"/>
      <c r="M496" s="67">
        <f t="shared" si="101"/>
        <v>50</v>
      </c>
      <c r="N496" s="66"/>
      <c r="O496" s="67">
        <f t="shared" si="95"/>
        <v>50</v>
      </c>
    </row>
    <row r="497" spans="1:15" x14ac:dyDescent="0.2">
      <c r="A497" s="64" t="str">
        <f ca="1">IF(ISERROR(MATCH(C497,Код_Раздел,0)),"",INDIRECT(ADDRESS(MATCH(C497,Код_Раздел,0)+1,2,,,"Раздел")))</f>
        <v>Национальная экономика</v>
      </c>
      <c r="B497" s="26">
        <v>803</v>
      </c>
      <c r="C497" s="65" t="s">
        <v>73</v>
      </c>
      <c r="D497" s="65"/>
      <c r="E497" s="26"/>
      <c r="F497" s="26"/>
      <c r="G497" s="66">
        <f>G503+G532+G498</f>
        <v>339833.7</v>
      </c>
      <c r="H497" s="66">
        <f>H503+H532+H498</f>
        <v>0</v>
      </c>
      <c r="I497" s="67">
        <f t="shared" ref="I497:I572" si="103">G497+H497</f>
        <v>339833.7</v>
      </c>
      <c r="J497" s="66">
        <f>J503+J532+J498</f>
        <v>1.1000000000000001</v>
      </c>
      <c r="K497" s="67">
        <f t="shared" si="100"/>
        <v>339834.8</v>
      </c>
      <c r="L497" s="66">
        <f>L503+L532+L498</f>
        <v>279503.59999999998</v>
      </c>
      <c r="M497" s="67">
        <f t="shared" si="101"/>
        <v>619338.39999999991</v>
      </c>
      <c r="N497" s="66">
        <f>N503+N532+N498</f>
        <v>963.80000000000007</v>
      </c>
      <c r="O497" s="67">
        <f t="shared" si="95"/>
        <v>620302.19999999995</v>
      </c>
    </row>
    <row r="498" spans="1:15" x14ac:dyDescent="0.2">
      <c r="A498" s="75" t="s">
        <v>146</v>
      </c>
      <c r="B498" s="26">
        <v>803</v>
      </c>
      <c r="C498" s="65" t="s">
        <v>73</v>
      </c>
      <c r="D498" s="65" t="s">
        <v>79</v>
      </c>
      <c r="E498" s="26"/>
      <c r="F498" s="26"/>
      <c r="G498" s="66">
        <f t="shared" ref="G498:N501" si="104">G499</f>
        <v>16002.8</v>
      </c>
      <c r="H498" s="66">
        <f t="shared" si="104"/>
        <v>0</v>
      </c>
      <c r="I498" s="67">
        <f t="shared" si="103"/>
        <v>16002.8</v>
      </c>
      <c r="J498" s="66">
        <f t="shared" si="104"/>
        <v>0</v>
      </c>
      <c r="K498" s="67">
        <f t="shared" si="100"/>
        <v>16002.8</v>
      </c>
      <c r="L498" s="66">
        <f t="shared" si="104"/>
        <v>0</v>
      </c>
      <c r="M498" s="67">
        <f t="shared" si="101"/>
        <v>16002.8</v>
      </c>
      <c r="N498" s="66">
        <f t="shared" si="104"/>
        <v>0</v>
      </c>
      <c r="O498" s="67">
        <f t="shared" si="95"/>
        <v>16002.8</v>
      </c>
    </row>
    <row r="499" spans="1:15" ht="33" x14ac:dyDescent="0.2">
      <c r="A499" s="64" t="str">
        <f ca="1">IF(ISERROR(MATCH(E499,Код_КЦСР,0)),"",INDIRECT(ADDRESS(MATCH(E499,Код_КЦСР,0)+1,2,,,"КЦСР")))</f>
        <v>Муниципальная программа «Развитие земельно-имущественного комплекса города Череповца» на 2014 – 2022 годы</v>
      </c>
      <c r="B499" s="26">
        <v>803</v>
      </c>
      <c r="C499" s="65" t="s">
        <v>73</v>
      </c>
      <c r="D499" s="65" t="s">
        <v>79</v>
      </c>
      <c r="E499" s="26" t="s">
        <v>356</v>
      </c>
      <c r="F499" s="26"/>
      <c r="G499" s="66">
        <f t="shared" si="104"/>
        <v>16002.8</v>
      </c>
      <c r="H499" s="66">
        <f t="shared" si="104"/>
        <v>0</v>
      </c>
      <c r="I499" s="67">
        <f t="shared" si="103"/>
        <v>16002.8</v>
      </c>
      <c r="J499" s="66">
        <f t="shared" si="104"/>
        <v>0</v>
      </c>
      <c r="K499" s="67">
        <f t="shared" si="100"/>
        <v>16002.8</v>
      </c>
      <c r="L499" s="66">
        <f t="shared" si="104"/>
        <v>0</v>
      </c>
      <c r="M499" s="67">
        <f t="shared" si="101"/>
        <v>16002.8</v>
      </c>
      <c r="N499" s="66">
        <f t="shared" si="104"/>
        <v>0</v>
      </c>
      <c r="O499" s="67">
        <f t="shared" si="95"/>
        <v>16002.8</v>
      </c>
    </row>
    <row r="500" spans="1:15" ht="33" x14ac:dyDescent="0.2">
      <c r="A500" s="64" t="str">
        <f ca="1">IF(ISERROR(MATCH(E500,Код_КЦСР,0)),"",INDIRECT(ADDRESS(MATCH(E500,Код_КЦСР,0)+1,2,,,"КЦСР")))</f>
        <v>Формирование и обеспечение сохранности муниципального земельно-имущественного комплекса</v>
      </c>
      <c r="B500" s="26">
        <v>803</v>
      </c>
      <c r="C500" s="65" t="s">
        <v>73</v>
      </c>
      <c r="D500" s="65" t="s">
        <v>79</v>
      </c>
      <c r="E500" s="26" t="s">
        <v>357</v>
      </c>
      <c r="F500" s="26"/>
      <c r="G500" s="66">
        <f t="shared" si="104"/>
        <v>16002.8</v>
      </c>
      <c r="H500" s="66">
        <f t="shared" si="104"/>
        <v>0</v>
      </c>
      <c r="I500" s="67">
        <f t="shared" si="103"/>
        <v>16002.8</v>
      </c>
      <c r="J500" s="66">
        <f t="shared" si="104"/>
        <v>0</v>
      </c>
      <c r="K500" s="67">
        <f t="shared" si="100"/>
        <v>16002.8</v>
      </c>
      <c r="L500" s="66">
        <f t="shared" si="104"/>
        <v>0</v>
      </c>
      <c r="M500" s="67">
        <f t="shared" si="101"/>
        <v>16002.8</v>
      </c>
      <c r="N500" s="66">
        <f t="shared" si="104"/>
        <v>0</v>
      </c>
      <c r="O500" s="67">
        <f t="shared" si="95"/>
        <v>16002.8</v>
      </c>
    </row>
    <row r="501" spans="1:15" ht="33" x14ac:dyDescent="0.2">
      <c r="A501" s="64" t="str">
        <f ca="1">IF(ISERROR(MATCH(F501,Код_КВР,0)),"",INDIRECT(ADDRESS(MATCH(F501,Код_КВР,0)+1,2,,,"КВР")))</f>
        <v>Закупка товаров, работ и услуг для обеспечения государственных (муниципальных) нужд</v>
      </c>
      <c r="B501" s="26">
        <v>803</v>
      </c>
      <c r="C501" s="65" t="s">
        <v>73</v>
      </c>
      <c r="D501" s="65" t="s">
        <v>79</v>
      </c>
      <c r="E501" s="26" t="s">
        <v>357</v>
      </c>
      <c r="F501" s="26">
        <v>200</v>
      </c>
      <c r="G501" s="66">
        <f t="shared" si="104"/>
        <v>16002.8</v>
      </c>
      <c r="H501" s="66">
        <f t="shared" si="104"/>
        <v>0</v>
      </c>
      <c r="I501" s="67">
        <f t="shared" si="103"/>
        <v>16002.8</v>
      </c>
      <c r="J501" s="66">
        <f t="shared" si="104"/>
        <v>0</v>
      </c>
      <c r="K501" s="67">
        <f t="shared" si="100"/>
        <v>16002.8</v>
      </c>
      <c r="L501" s="66">
        <f t="shared" si="104"/>
        <v>0</v>
      </c>
      <c r="M501" s="67">
        <f t="shared" si="101"/>
        <v>16002.8</v>
      </c>
      <c r="N501" s="66">
        <f t="shared" si="104"/>
        <v>0</v>
      </c>
      <c r="O501" s="67">
        <f t="shared" si="95"/>
        <v>16002.8</v>
      </c>
    </row>
    <row r="502" spans="1:15" ht="33" x14ac:dyDescent="0.2">
      <c r="A502" s="64" t="str">
        <f ca="1">IF(ISERROR(MATCH(F502,Код_КВР,0)),"",INDIRECT(ADDRESS(MATCH(F502,Код_КВР,0)+1,2,,,"КВР")))</f>
        <v>Иные закупки товаров, работ и услуг для обеспечения государственных (муниципальных) нужд</v>
      </c>
      <c r="B502" s="26">
        <v>803</v>
      </c>
      <c r="C502" s="65" t="s">
        <v>73</v>
      </c>
      <c r="D502" s="65" t="s">
        <v>79</v>
      </c>
      <c r="E502" s="26" t="s">
        <v>357</v>
      </c>
      <c r="F502" s="26">
        <v>240</v>
      </c>
      <c r="G502" s="66">
        <v>16002.8</v>
      </c>
      <c r="H502" s="66"/>
      <c r="I502" s="67">
        <f t="shared" si="103"/>
        <v>16002.8</v>
      </c>
      <c r="J502" s="66"/>
      <c r="K502" s="67">
        <f t="shared" si="100"/>
        <v>16002.8</v>
      </c>
      <c r="L502" s="66"/>
      <c r="M502" s="67">
        <f t="shared" si="101"/>
        <v>16002.8</v>
      </c>
      <c r="N502" s="66"/>
      <c r="O502" s="67">
        <f t="shared" si="95"/>
        <v>16002.8</v>
      </c>
    </row>
    <row r="503" spans="1:15" x14ac:dyDescent="0.2">
      <c r="A503" s="75" t="s">
        <v>45</v>
      </c>
      <c r="B503" s="26">
        <v>803</v>
      </c>
      <c r="C503" s="65" t="s">
        <v>73</v>
      </c>
      <c r="D503" s="65" t="s">
        <v>76</v>
      </c>
      <c r="E503" s="26"/>
      <c r="F503" s="26"/>
      <c r="G503" s="66">
        <f>G504</f>
        <v>323800.90000000002</v>
      </c>
      <c r="H503" s="66">
        <f>H504</f>
        <v>0</v>
      </c>
      <c r="I503" s="67">
        <f t="shared" si="103"/>
        <v>323800.90000000002</v>
      </c>
      <c r="J503" s="66">
        <f>J504</f>
        <v>1.1000000000000001</v>
      </c>
      <c r="K503" s="67">
        <f t="shared" si="100"/>
        <v>323802</v>
      </c>
      <c r="L503" s="66">
        <f>L504</f>
        <v>279005.59999999998</v>
      </c>
      <c r="M503" s="67">
        <f t="shared" si="101"/>
        <v>602807.6</v>
      </c>
      <c r="N503" s="66">
        <f>N504</f>
        <v>963.80000000000007</v>
      </c>
      <c r="O503" s="67">
        <f t="shared" si="95"/>
        <v>603771.4</v>
      </c>
    </row>
    <row r="504" spans="1:15" ht="33" x14ac:dyDescent="0.2">
      <c r="A504" s="52" t="str">
        <f ca="1">IF(ISERROR(MATCH(E504,Код_КЦСР,0)),"",INDIRECT(ADDRESS(MATCH(E504,Код_КЦСР,0)+1,2,,,"КЦСР")))</f>
        <v>Муниципальная программа «Развитие жилищно-коммунального хозяйства города Череповца» на 2014 – 2020 годы</v>
      </c>
      <c r="B504" s="25">
        <v>803</v>
      </c>
      <c r="C504" s="87" t="s">
        <v>73</v>
      </c>
      <c r="D504" s="87" t="s">
        <v>76</v>
      </c>
      <c r="E504" s="25" t="s">
        <v>341</v>
      </c>
      <c r="F504" s="25"/>
      <c r="G504" s="88">
        <f>G505</f>
        <v>323800.90000000002</v>
      </c>
      <c r="H504" s="88">
        <f>H505</f>
        <v>0</v>
      </c>
      <c r="I504" s="67">
        <f t="shared" si="103"/>
        <v>323800.90000000002</v>
      </c>
      <c r="J504" s="88">
        <f>J505</f>
        <v>1.1000000000000001</v>
      </c>
      <c r="K504" s="67">
        <f t="shared" si="100"/>
        <v>323802</v>
      </c>
      <c r="L504" s="88">
        <f>L505</f>
        <v>279005.59999999998</v>
      </c>
      <c r="M504" s="67">
        <f t="shared" si="101"/>
        <v>602807.6</v>
      </c>
      <c r="N504" s="88">
        <f>N505</f>
        <v>963.80000000000007</v>
      </c>
      <c r="O504" s="67">
        <f t="shared" si="95"/>
        <v>603771.4</v>
      </c>
    </row>
    <row r="505" spans="1:15" x14ac:dyDescent="0.2">
      <c r="A505" s="52" t="str">
        <f ca="1">IF(ISERROR(MATCH(E505,Код_КЦСР,0)),"",INDIRECT(ADDRESS(MATCH(E505,Код_КЦСР,0)+1,2,,,"КЦСР")))</f>
        <v>Развитие благоустройства города</v>
      </c>
      <c r="B505" s="25">
        <v>803</v>
      </c>
      <c r="C505" s="87" t="s">
        <v>73</v>
      </c>
      <c r="D505" s="87" t="s">
        <v>76</v>
      </c>
      <c r="E505" s="25" t="s">
        <v>342</v>
      </c>
      <c r="F505" s="25"/>
      <c r="G505" s="88">
        <f>G506++G521+G525+G528</f>
        <v>323800.90000000002</v>
      </c>
      <c r="H505" s="88">
        <f>H506++H521+H525+H528</f>
        <v>0</v>
      </c>
      <c r="I505" s="67">
        <f t="shared" si="103"/>
        <v>323800.90000000002</v>
      </c>
      <c r="J505" s="88">
        <f>J506++J521+J525+J528</f>
        <v>1.1000000000000001</v>
      </c>
      <c r="K505" s="67">
        <f t="shared" si="100"/>
        <v>323802</v>
      </c>
      <c r="L505" s="88">
        <f>L506++L521+L525+L528</f>
        <v>279005.59999999998</v>
      </c>
      <c r="M505" s="67">
        <f t="shared" si="101"/>
        <v>602807.6</v>
      </c>
      <c r="N505" s="88">
        <f>N506++N521+N525+N528</f>
        <v>963.80000000000007</v>
      </c>
      <c r="O505" s="67">
        <f t="shared" si="95"/>
        <v>603771.4</v>
      </c>
    </row>
    <row r="506" spans="1:15" x14ac:dyDescent="0.2">
      <c r="A506" s="52" t="str">
        <f ca="1">IF(ISERROR(MATCH(E506,Код_КЦСР,0)),"",INDIRECT(ADDRESS(MATCH(E506,Код_КЦСР,0)+1,2,,,"КЦСР")))</f>
        <v>Мероприятия по содержанию и ремонту улично-дорожной сети города</v>
      </c>
      <c r="B506" s="25">
        <v>803</v>
      </c>
      <c r="C506" s="87" t="s">
        <v>73</v>
      </c>
      <c r="D506" s="87" t="s">
        <v>76</v>
      </c>
      <c r="E506" s="25" t="s">
        <v>344</v>
      </c>
      <c r="F506" s="25"/>
      <c r="G506" s="88">
        <f>G507+G515</f>
        <v>323800.90000000002</v>
      </c>
      <c r="H506" s="88">
        <f>H507+H515</f>
        <v>0</v>
      </c>
      <c r="I506" s="67">
        <f t="shared" si="103"/>
        <v>323800.90000000002</v>
      </c>
      <c r="J506" s="88">
        <f>J507+J515</f>
        <v>1.1000000000000001</v>
      </c>
      <c r="K506" s="67">
        <f t="shared" si="100"/>
        <v>323802</v>
      </c>
      <c r="L506" s="88">
        <f>L507+L515</f>
        <v>180.6</v>
      </c>
      <c r="M506" s="67">
        <f t="shared" si="101"/>
        <v>323982.59999999998</v>
      </c>
      <c r="N506" s="88">
        <f>N507+N515</f>
        <v>963.80000000000007</v>
      </c>
      <c r="O506" s="67">
        <f t="shared" si="95"/>
        <v>324946.39999999997</v>
      </c>
    </row>
    <row r="507" spans="1:15" ht="33" x14ac:dyDescent="0.2">
      <c r="A507" s="52" t="str">
        <f ca="1">IF(ISERROR(MATCH(E507,Код_КЦСР,0)),"",INDIRECT(ADDRESS(MATCH(E507,Код_КЦСР,0)+1,2,,,"КЦСР")))</f>
        <v>Мероприятия по содержанию и ремонту улично-дорожной сети города, за счет средств городского бюджета</v>
      </c>
      <c r="B507" s="25">
        <v>803</v>
      </c>
      <c r="C507" s="87" t="s">
        <v>73</v>
      </c>
      <c r="D507" s="87" t="s">
        <v>76</v>
      </c>
      <c r="E507" s="25" t="s">
        <v>640</v>
      </c>
      <c r="F507" s="25"/>
      <c r="G507" s="88">
        <f>G508+G510+G512</f>
        <v>293931.5</v>
      </c>
      <c r="H507" s="88">
        <f>H508+H510+H512</f>
        <v>0</v>
      </c>
      <c r="I507" s="67">
        <f t="shared" si="103"/>
        <v>293931.5</v>
      </c>
      <c r="J507" s="88">
        <f>J508+J510+J512</f>
        <v>1.1000000000000001</v>
      </c>
      <c r="K507" s="67">
        <f t="shared" si="100"/>
        <v>293932.59999999998</v>
      </c>
      <c r="L507" s="88">
        <f>L508+L510+L512</f>
        <v>180.6</v>
      </c>
      <c r="M507" s="67">
        <f t="shared" si="101"/>
        <v>294113.19999999995</v>
      </c>
      <c r="N507" s="88">
        <f>N508+N510+N512</f>
        <v>963.80000000000007</v>
      </c>
      <c r="O507" s="67">
        <f t="shared" si="95"/>
        <v>295076.99999999994</v>
      </c>
    </row>
    <row r="508" spans="1:15" ht="49.5" x14ac:dyDescent="0.2">
      <c r="A508" s="52" t="str">
        <f t="shared" ref="A508:A514" ca="1" si="105">IF(ISERROR(MATCH(F508,Код_КВР,0)),"",INDIRECT(ADDRESS(MATCH(F508,Код_КВР,0)+1,2,,,"КВР")))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08" s="25">
        <v>803</v>
      </c>
      <c r="C508" s="87" t="s">
        <v>73</v>
      </c>
      <c r="D508" s="87" t="s">
        <v>76</v>
      </c>
      <c r="E508" s="25" t="s">
        <v>640</v>
      </c>
      <c r="F508" s="25">
        <v>100</v>
      </c>
      <c r="G508" s="88">
        <f>G509</f>
        <v>14034.099999999999</v>
      </c>
      <c r="H508" s="88">
        <f>H509</f>
        <v>0</v>
      </c>
      <c r="I508" s="67">
        <f t="shared" si="103"/>
        <v>14034.099999999999</v>
      </c>
      <c r="J508" s="88">
        <f>J509</f>
        <v>0</v>
      </c>
      <c r="K508" s="67">
        <f t="shared" si="100"/>
        <v>14034.099999999999</v>
      </c>
      <c r="L508" s="88">
        <f>L509</f>
        <v>0</v>
      </c>
      <c r="M508" s="67">
        <f t="shared" si="101"/>
        <v>14034.099999999999</v>
      </c>
      <c r="N508" s="88">
        <f>N509</f>
        <v>0</v>
      </c>
      <c r="O508" s="67">
        <f t="shared" si="95"/>
        <v>14034.099999999999</v>
      </c>
    </row>
    <row r="509" spans="1:15" x14ac:dyDescent="0.2">
      <c r="A509" s="52" t="str">
        <f t="shared" ca="1" si="105"/>
        <v>Расходы на выплаты персоналу казенных учреждений</v>
      </c>
      <c r="B509" s="25">
        <v>803</v>
      </c>
      <c r="C509" s="87" t="s">
        <v>73</v>
      </c>
      <c r="D509" s="87" t="s">
        <v>76</v>
      </c>
      <c r="E509" s="25" t="s">
        <v>640</v>
      </c>
      <c r="F509" s="25">
        <v>110</v>
      </c>
      <c r="G509" s="89">
        <f>10762+0.9+3271.2</f>
        <v>14034.099999999999</v>
      </c>
      <c r="H509" s="89"/>
      <c r="I509" s="67">
        <f t="shared" si="103"/>
        <v>14034.099999999999</v>
      </c>
      <c r="J509" s="89"/>
      <c r="K509" s="67">
        <f t="shared" si="100"/>
        <v>14034.099999999999</v>
      </c>
      <c r="L509" s="89"/>
      <c r="M509" s="67">
        <f t="shared" si="101"/>
        <v>14034.099999999999</v>
      </c>
      <c r="N509" s="89"/>
      <c r="O509" s="67">
        <f t="shared" si="95"/>
        <v>14034.099999999999</v>
      </c>
    </row>
    <row r="510" spans="1:15" ht="33" x14ac:dyDescent="0.2">
      <c r="A510" s="52" t="str">
        <f t="shared" ca="1" si="105"/>
        <v>Закупка товаров, работ и услуг для обеспечения государственных (муниципальных) нужд</v>
      </c>
      <c r="B510" s="25">
        <v>803</v>
      </c>
      <c r="C510" s="87" t="s">
        <v>73</v>
      </c>
      <c r="D510" s="87" t="s">
        <v>76</v>
      </c>
      <c r="E510" s="25" t="s">
        <v>640</v>
      </c>
      <c r="F510" s="25">
        <v>200</v>
      </c>
      <c r="G510" s="88">
        <f>G511</f>
        <v>279886.5</v>
      </c>
      <c r="H510" s="88">
        <f>H511</f>
        <v>0</v>
      </c>
      <c r="I510" s="67">
        <f t="shared" si="103"/>
        <v>279886.5</v>
      </c>
      <c r="J510" s="88">
        <f>J511</f>
        <v>0</v>
      </c>
      <c r="K510" s="67">
        <f t="shared" si="100"/>
        <v>279886.5</v>
      </c>
      <c r="L510" s="88">
        <f>L511</f>
        <v>0</v>
      </c>
      <c r="M510" s="67">
        <f t="shared" si="101"/>
        <v>279886.5</v>
      </c>
      <c r="N510" s="88">
        <f>N511</f>
        <v>898.1</v>
      </c>
      <c r="O510" s="67">
        <f t="shared" si="95"/>
        <v>280784.59999999998</v>
      </c>
    </row>
    <row r="511" spans="1:15" ht="33" x14ac:dyDescent="0.2">
      <c r="A511" s="52" t="str">
        <f t="shared" ca="1" si="105"/>
        <v>Иные закупки товаров, работ и услуг для обеспечения государственных (муниципальных) нужд</v>
      </c>
      <c r="B511" s="25">
        <v>803</v>
      </c>
      <c r="C511" s="87" t="s">
        <v>73</v>
      </c>
      <c r="D511" s="87" t="s">
        <v>76</v>
      </c>
      <c r="E511" s="25" t="s">
        <v>640</v>
      </c>
      <c r="F511" s="25">
        <v>240</v>
      </c>
      <c r="G511" s="88">
        <f>275243.3+1719.5+2923.7</f>
        <v>279886.5</v>
      </c>
      <c r="H511" s="88"/>
      <c r="I511" s="67">
        <f t="shared" si="103"/>
        <v>279886.5</v>
      </c>
      <c r="J511" s="88"/>
      <c r="K511" s="67">
        <f t="shared" si="100"/>
        <v>279886.5</v>
      </c>
      <c r="L511" s="88"/>
      <c r="M511" s="67">
        <f t="shared" si="101"/>
        <v>279886.5</v>
      </c>
      <c r="N511" s="88">
        <v>898.1</v>
      </c>
      <c r="O511" s="67">
        <f t="shared" si="95"/>
        <v>280784.59999999998</v>
      </c>
    </row>
    <row r="512" spans="1:15" ht="20.25" customHeight="1" x14ac:dyDescent="0.2">
      <c r="A512" s="52" t="str">
        <f t="shared" ca="1" si="105"/>
        <v>Иные бюджетные ассигнования</v>
      </c>
      <c r="B512" s="25">
        <v>803</v>
      </c>
      <c r="C512" s="87" t="s">
        <v>73</v>
      </c>
      <c r="D512" s="87" t="s">
        <v>76</v>
      </c>
      <c r="E512" s="25" t="s">
        <v>640</v>
      </c>
      <c r="F512" s="25">
        <v>800</v>
      </c>
      <c r="G512" s="88">
        <f>G514</f>
        <v>10.9</v>
      </c>
      <c r="H512" s="88">
        <f>H514</f>
        <v>0</v>
      </c>
      <c r="I512" s="67">
        <f t="shared" si="103"/>
        <v>10.9</v>
      </c>
      <c r="J512" s="88">
        <f>SUM(J513:J514)</f>
        <v>1.1000000000000001</v>
      </c>
      <c r="K512" s="67">
        <f t="shared" si="100"/>
        <v>12</v>
      </c>
      <c r="L512" s="88">
        <f>SUM(L513:L514)</f>
        <v>180.6</v>
      </c>
      <c r="M512" s="67">
        <f t="shared" si="101"/>
        <v>192.6</v>
      </c>
      <c r="N512" s="88">
        <f>SUM(N513:N514)</f>
        <v>65.7</v>
      </c>
      <c r="O512" s="67">
        <f t="shared" si="95"/>
        <v>258.3</v>
      </c>
    </row>
    <row r="513" spans="1:15" x14ac:dyDescent="0.2">
      <c r="A513" s="52" t="str">
        <f t="shared" ca="1" si="105"/>
        <v>Исполнение судебных актов</v>
      </c>
      <c r="B513" s="25">
        <v>803</v>
      </c>
      <c r="C513" s="87" t="s">
        <v>73</v>
      </c>
      <c r="D513" s="87" t="s">
        <v>76</v>
      </c>
      <c r="E513" s="25" t="s">
        <v>640</v>
      </c>
      <c r="F513" s="25">
        <v>830</v>
      </c>
      <c r="G513" s="88"/>
      <c r="H513" s="88"/>
      <c r="I513" s="67"/>
      <c r="J513" s="88">
        <v>1.1000000000000001</v>
      </c>
      <c r="K513" s="67">
        <f t="shared" si="100"/>
        <v>1.1000000000000001</v>
      </c>
      <c r="L513" s="88">
        <f>149.9+30.7</f>
        <v>180.6</v>
      </c>
      <c r="M513" s="67">
        <f t="shared" si="101"/>
        <v>181.7</v>
      </c>
      <c r="N513" s="88">
        <f>40+25+0.7</f>
        <v>65.7</v>
      </c>
      <c r="O513" s="67">
        <f t="shared" si="95"/>
        <v>247.39999999999998</v>
      </c>
    </row>
    <row r="514" spans="1:15" x14ac:dyDescent="0.2">
      <c r="A514" s="52" t="str">
        <f t="shared" ca="1" si="105"/>
        <v>Уплата налогов, сборов и иных платежей</v>
      </c>
      <c r="B514" s="25">
        <v>803</v>
      </c>
      <c r="C514" s="87" t="s">
        <v>73</v>
      </c>
      <c r="D514" s="87" t="s">
        <v>76</v>
      </c>
      <c r="E514" s="25" t="s">
        <v>640</v>
      </c>
      <c r="F514" s="25">
        <v>850</v>
      </c>
      <c r="G514" s="88">
        <f>9.3+1.6</f>
        <v>10.9</v>
      </c>
      <c r="H514" s="88"/>
      <c r="I514" s="67">
        <f t="shared" si="103"/>
        <v>10.9</v>
      </c>
      <c r="J514" s="88"/>
      <c r="K514" s="67">
        <f t="shared" si="100"/>
        <v>10.9</v>
      </c>
      <c r="L514" s="88"/>
      <c r="M514" s="67">
        <f t="shared" si="101"/>
        <v>10.9</v>
      </c>
      <c r="N514" s="88"/>
      <c r="O514" s="67">
        <f t="shared" si="95"/>
        <v>10.9</v>
      </c>
    </row>
    <row r="515" spans="1:15" ht="33" x14ac:dyDescent="0.2">
      <c r="A515" s="52" t="str">
        <f ca="1">IF(ISERROR(MATCH(E515,Код_КЦСР,0)),"",INDIRECT(ADDRESS(MATCH(E515,Код_КЦСР,0)+1,2,,,"КЦСР")))</f>
        <v>Содержание и ремонт улично-дорожной сети города, в рамках софинансирования с областным Дорожным фондом</v>
      </c>
      <c r="B515" s="25">
        <v>803</v>
      </c>
      <c r="C515" s="87" t="s">
        <v>73</v>
      </c>
      <c r="D515" s="87" t="s">
        <v>76</v>
      </c>
      <c r="E515" s="25" t="s">
        <v>346</v>
      </c>
      <c r="F515" s="25"/>
      <c r="G515" s="118">
        <f>G516</f>
        <v>29869.4</v>
      </c>
      <c r="H515" s="89">
        <f>H516</f>
        <v>0</v>
      </c>
      <c r="I515" s="67">
        <f t="shared" si="103"/>
        <v>29869.4</v>
      </c>
      <c r="J515" s="118">
        <f>J516</f>
        <v>0</v>
      </c>
      <c r="K515" s="67">
        <f t="shared" si="100"/>
        <v>29869.4</v>
      </c>
      <c r="L515" s="118">
        <f>L516</f>
        <v>0</v>
      </c>
      <c r="M515" s="67">
        <f t="shared" si="101"/>
        <v>29869.4</v>
      </c>
      <c r="N515" s="118">
        <f>N516</f>
        <v>0</v>
      </c>
      <c r="O515" s="67">
        <f t="shared" si="95"/>
        <v>29869.4</v>
      </c>
    </row>
    <row r="516" spans="1:15" ht="33" x14ac:dyDescent="0.2">
      <c r="A516" s="64" t="str">
        <f ca="1">IF(ISERROR(MATCH(F516,Код_КВР,0)),"",INDIRECT(ADDRESS(MATCH(F516,Код_КВР,0)+1,2,,,"КВР")))</f>
        <v>Закупка товаров, работ и услуг для обеспечения государственных (муниципальных) нужд</v>
      </c>
      <c r="B516" s="26">
        <v>803</v>
      </c>
      <c r="C516" s="65" t="s">
        <v>73</v>
      </c>
      <c r="D516" s="65" t="s">
        <v>76</v>
      </c>
      <c r="E516" s="26" t="s">
        <v>346</v>
      </c>
      <c r="F516" s="26">
        <v>200</v>
      </c>
      <c r="G516" s="103">
        <f>G517</f>
        <v>29869.4</v>
      </c>
      <c r="H516" s="67">
        <f>H517</f>
        <v>0</v>
      </c>
      <c r="I516" s="67">
        <f t="shared" si="103"/>
        <v>29869.4</v>
      </c>
      <c r="J516" s="103">
        <f>J517</f>
        <v>0</v>
      </c>
      <c r="K516" s="67">
        <f t="shared" si="100"/>
        <v>29869.4</v>
      </c>
      <c r="L516" s="103">
        <f>L517</f>
        <v>0</v>
      </c>
      <c r="M516" s="67">
        <f t="shared" si="101"/>
        <v>29869.4</v>
      </c>
      <c r="N516" s="103">
        <f>N517</f>
        <v>0</v>
      </c>
      <c r="O516" s="67">
        <f t="shared" si="95"/>
        <v>29869.4</v>
      </c>
    </row>
    <row r="517" spans="1:15" ht="33" x14ac:dyDescent="0.2">
      <c r="A517" s="64" t="str">
        <f ca="1">IF(ISERROR(MATCH(F517,Код_КВР,0)),"",INDIRECT(ADDRESS(MATCH(F517,Код_КВР,0)+1,2,,,"КВР")))</f>
        <v>Иные закупки товаров, работ и услуг для обеспечения государственных (муниципальных) нужд</v>
      </c>
      <c r="B517" s="26">
        <v>803</v>
      </c>
      <c r="C517" s="65" t="s">
        <v>73</v>
      </c>
      <c r="D517" s="65" t="s">
        <v>76</v>
      </c>
      <c r="E517" s="26" t="s">
        <v>346</v>
      </c>
      <c r="F517" s="26">
        <v>240</v>
      </c>
      <c r="G517" s="103">
        <v>29869.4</v>
      </c>
      <c r="H517" s="67"/>
      <c r="I517" s="67">
        <f t="shared" si="103"/>
        <v>29869.4</v>
      </c>
      <c r="J517" s="103"/>
      <c r="K517" s="67">
        <f t="shared" si="100"/>
        <v>29869.4</v>
      </c>
      <c r="L517" s="103"/>
      <c r="M517" s="67">
        <f t="shared" si="101"/>
        <v>29869.4</v>
      </c>
      <c r="N517" s="103"/>
      <c r="O517" s="67">
        <f t="shared" si="95"/>
        <v>29869.4</v>
      </c>
    </row>
    <row r="518" spans="1:15" s="91" customFormat="1" ht="49.5" hidden="1" x14ac:dyDescent="0.2">
      <c r="A518" s="64" t="str">
        <f ca="1">IF(ISERROR(MATCH(E518,Код_КЦСР,0)),"",INDIRECT(ADDRESS(MATCH(E518,Код_КЦСР,0)+1,2,,,"КЦСР")))</f>
        <v>Обеспечение подъездов к земельным участкам, предоставляемым отдельным категориям граждан, в рамках софинансирования с областным Дорожным фондом</v>
      </c>
      <c r="B518" s="25">
        <v>803</v>
      </c>
      <c r="C518" s="87" t="s">
        <v>73</v>
      </c>
      <c r="D518" s="87" t="s">
        <v>76</v>
      </c>
      <c r="E518" s="25" t="s">
        <v>533</v>
      </c>
      <c r="F518" s="25"/>
      <c r="G518" s="88">
        <f>G519</f>
        <v>0</v>
      </c>
      <c r="H518" s="88">
        <f>H519</f>
        <v>0</v>
      </c>
      <c r="I518" s="67">
        <f t="shared" si="103"/>
        <v>0</v>
      </c>
      <c r="J518" s="88">
        <f>J519</f>
        <v>0</v>
      </c>
      <c r="K518" s="67">
        <f t="shared" si="100"/>
        <v>0</v>
      </c>
      <c r="L518" s="88">
        <f>L519</f>
        <v>0</v>
      </c>
      <c r="M518" s="67">
        <f t="shared" si="101"/>
        <v>0</v>
      </c>
      <c r="N518" s="88">
        <f>N519</f>
        <v>0</v>
      </c>
      <c r="O518" s="67">
        <f t="shared" si="95"/>
        <v>0</v>
      </c>
    </row>
    <row r="519" spans="1:15" ht="33" hidden="1" x14ac:dyDescent="0.2">
      <c r="A519" s="52" t="str">
        <f ca="1">IF(ISERROR(MATCH(F519,Код_КВР,0)),"",INDIRECT(ADDRESS(MATCH(F519,Код_КВР,0)+1,2,,,"КВР")))</f>
        <v>Закупка товаров, работ и услуг для обеспечения государственных (муниципальных) нужд</v>
      </c>
      <c r="B519" s="25">
        <v>803</v>
      </c>
      <c r="C519" s="87" t="s">
        <v>73</v>
      </c>
      <c r="D519" s="87" t="s">
        <v>76</v>
      </c>
      <c r="E519" s="25" t="s">
        <v>533</v>
      </c>
      <c r="F519" s="25">
        <v>200</v>
      </c>
      <c r="G519" s="88">
        <f>G520</f>
        <v>0</v>
      </c>
      <c r="H519" s="88">
        <f>H520</f>
        <v>0</v>
      </c>
      <c r="I519" s="67">
        <f t="shared" si="103"/>
        <v>0</v>
      </c>
      <c r="J519" s="88">
        <f>J520</f>
        <v>0</v>
      </c>
      <c r="K519" s="67">
        <f t="shared" si="100"/>
        <v>0</v>
      </c>
      <c r="L519" s="88">
        <f>L520</f>
        <v>0</v>
      </c>
      <c r="M519" s="67">
        <f t="shared" si="101"/>
        <v>0</v>
      </c>
      <c r="N519" s="88">
        <f>N520</f>
        <v>0</v>
      </c>
      <c r="O519" s="67">
        <f t="shared" si="95"/>
        <v>0</v>
      </c>
    </row>
    <row r="520" spans="1:15" ht="33" hidden="1" x14ac:dyDescent="0.2">
      <c r="A520" s="52" t="str">
        <f ca="1">IF(ISERROR(MATCH(F520,Код_КВР,0)),"",INDIRECT(ADDRESS(MATCH(F520,Код_КВР,0)+1,2,,,"КВР")))</f>
        <v>Иные закупки товаров, работ и услуг для обеспечения государственных (муниципальных) нужд</v>
      </c>
      <c r="B520" s="25">
        <v>803</v>
      </c>
      <c r="C520" s="87" t="s">
        <v>73</v>
      </c>
      <c r="D520" s="87" t="s">
        <v>76</v>
      </c>
      <c r="E520" s="25" t="s">
        <v>533</v>
      </c>
      <c r="F520" s="25">
        <v>240</v>
      </c>
      <c r="G520" s="88"/>
      <c r="H520" s="88"/>
      <c r="I520" s="67">
        <f t="shared" si="103"/>
        <v>0</v>
      </c>
      <c r="J520" s="88"/>
      <c r="K520" s="67">
        <f t="shared" si="100"/>
        <v>0</v>
      </c>
      <c r="L520" s="88"/>
      <c r="M520" s="67">
        <f t="shared" si="101"/>
        <v>0</v>
      </c>
      <c r="N520" s="88"/>
      <c r="O520" s="67">
        <f t="shared" si="95"/>
        <v>0</v>
      </c>
    </row>
    <row r="521" spans="1:15" ht="33" x14ac:dyDescent="0.2">
      <c r="A521" s="64" t="str">
        <f ca="1">IF(ISERROR(MATCH(E521,Код_КЦСР,0)),"",INDIRECT(ADDRESS(MATCH(E521,Код_КЦСР,0)+1,2,,,"КЦСР")))</f>
        <v>Осуществление дорожной деятельности в отношении автомобильных дорог общего пользования местного значения</v>
      </c>
      <c r="B521" s="26">
        <v>803</v>
      </c>
      <c r="C521" s="65" t="s">
        <v>73</v>
      </c>
      <c r="D521" s="65" t="s">
        <v>76</v>
      </c>
      <c r="E521" s="26" t="s">
        <v>487</v>
      </c>
      <c r="F521" s="26"/>
      <c r="G521" s="66">
        <f t="shared" ref="G521:N523" si="106">G522</f>
        <v>0</v>
      </c>
      <c r="H521" s="66">
        <f t="shared" si="106"/>
        <v>0</v>
      </c>
      <c r="I521" s="67">
        <f t="shared" si="103"/>
        <v>0</v>
      </c>
      <c r="J521" s="66">
        <f t="shared" si="106"/>
        <v>0</v>
      </c>
      <c r="K521" s="67">
        <f t="shared" si="100"/>
        <v>0</v>
      </c>
      <c r="L521" s="66">
        <f t="shared" si="106"/>
        <v>278825</v>
      </c>
      <c r="M521" s="67">
        <f t="shared" si="101"/>
        <v>278825</v>
      </c>
      <c r="N521" s="66">
        <f t="shared" si="106"/>
        <v>0</v>
      </c>
      <c r="O521" s="67">
        <f t="shared" si="95"/>
        <v>278825</v>
      </c>
    </row>
    <row r="522" spans="1:15" ht="49.5" x14ac:dyDescent="0.2">
      <c r="A522" s="64" t="str">
        <f ca="1">IF(ISERROR(MATCH(E522,Код_КЦСР,0)),"",INDIRECT(ADDRESS(MATCH(E522,Код_КЦСР,0)+1,2,,,"КЦСР")))</f>
        <v>Осуществление дорожной деятельности в отношении автомобильных дорог общего пользования местного значения, за счет средств областного бюджета</v>
      </c>
      <c r="B522" s="26">
        <v>803</v>
      </c>
      <c r="C522" s="65" t="s">
        <v>73</v>
      </c>
      <c r="D522" s="65" t="s">
        <v>76</v>
      </c>
      <c r="E522" s="26" t="s">
        <v>475</v>
      </c>
      <c r="F522" s="26"/>
      <c r="G522" s="66">
        <f t="shared" si="106"/>
        <v>0</v>
      </c>
      <c r="H522" s="66">
        <f t="shared" si="106"/>
        <v>0</v>
      </c>
      <c r="I522" s="67">
        <f t="shared" si="103"/>
        <v>0</v>
      </c>
      <c r="J522" s="66">
        <f t="shared" si="106"/>
        <v>0</v>
      </c>
      <c r="K522" s="67">
        <f t="shared" si="100"/>
        <v>0</v>
      </c>
      <c r="L522" s="66">
        <f t="shared" si="106"/>
        <v>278825</v>
      </c>
      <c r="M522" s="67">
        <f t="shared" si="101"/>
        <v>278825</v>
      </c>
      <c r="N522" s="66">
        <f t="shared" si="106"/>
        <v>0</v>
      </c>
      <c r="O522" s="67">
        <f t="shared" si="95"/>
        <v>278825</v>
      </c>
    </row>
    <row r="523" spans="1:15" ht="33" x14ac:dyDescent="0.2">
      <c r="A523" s="64" t="str">
        <f ca="1">IF(ISERROR(MATCH(F523,Код_КВР,0)),"",INDIRECT(ADDRESS(MATCH(F523,Код_КВР,0)+1,2,,,"КВР")))</f>
        <v>Закупка товаров, работ и услуг для обеспечения государственных (муниципальных) нужд</v>
      </c>
      <c r="B523" s="26">
        <v>803</v>
      </c>
      <c r="C523" s="65" t="s">
        <v>73</v>
      </c>
      <c r="D523" s="65" t="s">
        <v>76</v>
      </c>
      <c r="E523" s="26" t="s">
        <v>475</v>
      </c>
      <c r="F523" s="26">
        <v>200</v>
      </c>
      <c r="G523" s="66">
        <f t="shared" si="106"/>
        <v>0</v>
      </c>
      <c r="H523" s="66">
        <f t="shared" si="106"/>
        <v>0</v>
      </c>
      <c r="I523" s="67">
        <f t="shared" si="103"/>
        <v>0</v>
      </c>
      <c r="J523" s="66">
        <f t="shared" si="106"/>
        <v>0</v>
      </c>
      <c r="K523" s="67">
        <f t="shared" si="100"/>
        <v>0</v>
      </c>
      <c r="L523" s="66">
        <f t="shared" si="106"/>
        <v>278825</v>
      </c>
      <c r="M523" s="67">
        <f t="shared" si="101"/>
        <v>278825</v>
      </c>
      <c r="N523" s="66">
        <f t="shared" si="106"/>
        <v>0</v>
      </c>
      <c r="O523" s="67">
        <f t="shared" si="95"/>
        <v>278825</v>
      </c>
    </row>
    <row r="524" spans="1:15" ht="33" x14ac:dyDescent="0.2">
      <c r="A524" s="64" t="str">
        <f ca="1">IF(ISERROR(MATCH(F524,Код_КВР,0)),"",INDIRECT(ADDRESS(MATCH(F524,Код_КВР,0)+1,2,,,"КВР")))</f>
        <v>Иные закупки товаров, работ и услуг для обеспечения государственных (муниципальных) нужд</v>
      </c>
      <c r="B524" s="26">
        <v>803</v>
      </c>
      <c r="C524" s="65" t="s">
        <v>73</v>
      </c>
      <c r="D524" s="65" t="s">
        <v>76</v>
      </c>
      <c r="E524" s="26" t="s">
        <v>475</v>
      </c>
      <c r="F524" s="26">
        <v>240</v>
      </c>
      <c r="G524" s="66"/>
      <c r="H524" s="66"/>
      <c r="I524" s="67">
        <f t="shared" si="103"/>
        <v>0</v>
      </c>
      <c r="J524" s="66"/>
      <c r="K524" s="67">
        <f t="shared" si="100"/>
        <v>0</v>
      </c>
      <c r="L524" s="66">
        <v>278825</v>
      </c>
      <c r="M524" s="67">
        <f t="shared" si="101"/>
        <v>278825</v>
      </c>
      <c r="N524" s="66"/>
      <c r="O524" s="67">
        <f t="shared" si="95"/>
        <v>278825</v>
      </c>
    </row>
    <row r="525" spans="1:15" ht="55.5" hidden="1" customHeight="1" x14ac:dyDescent="0.2">
      <c r="A525" s="64" t="str">
        <f ca="1">IF(ISERROR(MATCH(E525,Код_КЦСР,0)),"",INDIRECT(ADDRESS(MATCH(E525,Код_КЦСР,0)+1,2,,,"КЦСР")))</f>
        <v>Исполнение муниципальных гарантий в случае, если исполнение гарантом муниципальных гарантий не ведет к возникновению права регрессного требования к принципалу</v>
      </c>
      <c r="B525" s="26">
        <v>803</v>
      </c>
      <c r="C525" s="65" t="s">
        <v>73</v>
      </c>
      <c r="D525" s="65" t="s">
        <v>76</v>
      </c>
      <c r="E525" s="26" t="s">
        <v>584</v>
      </c>
      <c r="F525" s="26"/>
      <c r="G525" s="66">
        <f>G526</f>
        <v>0</v>
      </c>
      <c r="H525" s="66">
        <f>H526</f>
        <v>0</v>
      </c>
      <c r="I525" s="67">
        <f t="shared" si="103"/>
        <v>0</v>
      </c>
      <c r="J525" s="66">
        <f>J526</f>
        <v>0</v>
      </c>
      <c r="K525" s="67">
        <f t="shared" si="100"/>
        <v>0</v>
      </c>
      <c r="L525" s="66">
        <f>L526</f>
        <v>0</v>
      </c>
      <c r="M525" s="67">
        <f t="shared" si="101"/>
        <v>0</v>
      </c>
      <c r="N525" s="66">
        <f>N526</f>
        <v>0</v>
      </c>
      <c r="O525" s="67">
        <f t="shared" si="95"/>
        <v>0</v>
      </c>
    </row>
    <row r="526" spans="1:15" ht="23.25" hidden="1" customHeight="1" x14ac:dyDescent="0.2">
      <c r="A526" s="64" t="str">
        <f ca="1">IF(ISERROR(MATCH(F526,Код_КВР,0)),"",INDIRECT(ADDRESS(MATCH(F526,Код_КВР,0)+1,2,,,"КВР")))</f>
        <v>Иные бюджетные ассигнования</v>
      </c>
      <c r="B526" s="26">
        <v>803</v>
      </c>
      <c r="C526" s="65" t="s">
        <v>73</v>
      </c>
      <c r="D526" s="65" t="s">
        <v>76</v>
      </c>
      <c r="E526" s="26" t="s">
        <v>584</v>
      </c>
      <c r="F526" s="26">
        <v>800</v>
      </c>
      <c r="G526" s="66">
        <f>G527</f>
        <v>0</v>
      </c>
      <c r="H526" s="66">
        <f>H527</f>
        <v>0</v>
      </c>
      <c r="I526" s="67">
        <f t="shared" si="103"/>
        <v>0</v>
      </c>
      <c r="J526" s="66">
        <f>J527</f>
        <v>0</v>
      </c>
      <c r="K526" s="67">
        <f t="shared" si="100"/>
        <v>0</v>
      </c>
      <c r="L526" s="66">
        <f>L527</f>
        <v>0</v>
      </c>
      <c r="M526" s="67">
        <f t="shared" si="101"/>
        <v>0</v>
      </c>
      <c r="N526" s="66">
        <f>N527</f>
        <v>0</v>
      </c>
      <c r="O526" s="67">
        <f t="shared" si="95"/>
        <v>0</v>
      </c>
    </row>
    <row r="527" spans="1:15" ht="58.5" hidden="1" customHeight="1" x14ac:dyDescent="0.2">
      <c r="A527" s="64" t="str">
        <f ca="1">IF(ISERROR(MATCH(F527,Код_КВР,0)),"",INDIRECT(ADDRESS(MATCH(F527,Код_КВР,0)+1,2,,,"КВР")))</f>
        <v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v>
      </c>
      <c r="B527" s="26">
        <v>803</v>
      </c>
      <c r="C527" s="65" t="s">
        <v>73</v>
      </c>
      <c r="D527" s="65" t="s">
        <v>76</v>
      </c>
      <c r="E527" s="26" t="s">
        <v>584</v>
      </c>
      <c r="F527" s="26">
        <v>840</v>
      </c>
      <c r="G527" s="66"/>
      <c r="H527" s="66"/>
      <c r="I527" s="67">
        <f t="shared" si="103"/>
        <v>0</v>
      </c>
      <c r="J527" s="66"/>
      <c r="K527" s="67">
        <f t="shared" si="100"/>
        <v>0</v>
      </c>
      <c r="L527" s="66"/>
      <c r="M527" s="67">
        <f t="shared" si="101"/>
        <v>0</v>
      </c>
      <c r="N527" s="66"/>
      <c r="O527" s="67">
        <f t="shared" si="95"/>
        <v>0</v>
      </c>
    </row>
    <row r="528" spans="1:15" ht="49.5" hidden="1" x14ac:dyDescent="0.2">
      <c r="A528" s="64" t="str">
        <f ca="1">IF(ISERROR(MATCH(E528,Код_КЦСР,0)),"",INDIRECT(ADDRESS(MATCH(E528,Код_КЦСР,0)+1,2,,,"КЦСР")))</f>
        <v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v>
      </c>
      <c r="B528" s="26">
        <v>803</v>
      </c>
      <c r="C528" s="65" t="s">
        <v>73</v>
      </c>
      <c r="D528" s="65" t="s">
        <v>76</v>
      </c>
      <c r="E528" s="26" t="s">
        <v>529</v>
      </c>
      <c r="F528" s="26"/>
      <c r="G528" s="66">
        <f t="shared" ref="G528:N530" si="107">G529</f>
        <v>0</v>
      </c>
      <c r="H528" s="66">
        <f t="shared" si="107"/>
        <v>0</v>
      </c>
      <c r="I528" s="67">
        <f t="shared" si="103"/>
        <v>0</v>
      </c>
      <c r="J528" s="66">
        <f t="shared" si="107"/>
        <v>0</v>
      </c>
      <c r="K528" s="67">
        <f t="shared" si="100"/>
        <v>0</v>
      </c>
      <c r="L528" s="66">
        <f t="shared" si="107"/>
        <v>0</v>
      </c>
      <c r="M528" s="67">
        <f t="shared" si="101"/>
        <v>0</v>
      </c>
      <c r="N528" s="66">
        <f t="shared" si="107"/>
        <v>0</v>
      </c>
      <c r="O528" s="67">
        <f t="shared" si="95"/>
        <v>0</v>
      </c>
    </row>
    <row r="529" spans="1:15" ht="66" hidden="1" x14ac:dyDescent="0.2">
      <c r="A529" s="64" t="str">
        <f ca="1">IF(ISERROR(MATCH(E529,Код_КЦСР,0)),"",INDIRECT(ADDRESS(MATCH(E529,Код_КЦСР,0)+1,2,,,"КЦСР")))</f>
        <v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граждан, за счет средств областного бюджета</v>
      </c>
      <c r="B529" s="26">
        <v>803</v>
      </c>
      <c r="C529" s="65" t="s">
        <v>73</v>
      </c>
      <c r="D529" s="65" t="s">
        <v>76</v>
      </c>
      <c r="E529" s="26" t="s">
        <v>527</v>
      </c>
      <c r="F529" s="26"/>
      <c r="G529" s="66">
        <f t="shared" si="107"/>
        <v>0</v>
      </c>
      <c r="H529" s="66">
        <f t="shared" si="107"/>
        <v>0</v>
      </c>
      <c r="I529" s="67">
        <f t="shared" si="103"/>
        <v>0</v>
      </c>
      <c r="J529" s="66">
        <f t="shared" si="107"/>
        <v>0</v>
      </c>
      <c r="K529" s="67">
        <f t="shared" si="100"/>
        <v>0</v>
      </c>
      <c r="L529" s="66">
        <f t="shared" si="107"/>
        <v>0</v>
      </c>
      <c r="M529" s="67">
        <f t="shared" si="101"/>
        <v>0</v>
      </c>
      <c r="N529" s="66">
        <f t="shared" si="107"/>
        <v>0</v>
      </c>
      <c r="O529" s="67">
        <f t="shared" si="95"/>
        <v>0</v>
      </c>
    </row>
    <row r="530" spans="1:15" ht="33" hidden="1" x14ac:dyDescent="0.2">
      <c r="A530" s="64" t="str">
        <f ca="1">IF(ISERROR(MATCH(F530,Код_КВР,0)),"",INDIRECT(ADDRESS(MATCH(F530,Код_КВР,0)+1,2,,,"КВР")))</f>
        <v>Закупка товаров, работ и услуг для обеспечения государственных (муниципальных) нужд</v>
      </c>
      <c r="B530" s="26">
        <v>803</v>
      </c>
      <c r="C530" s="65" t="s">
        <v>73</v>
      </c>
      <c r="D530" s="65" t="s">
        <v>76</v>
      </c>
      <c r="E530" s="26" t="s">
        <v>527</v>
      </c>
      <c r="F530" s="26">
        <v>200</v>
      </c>
      <c r="G530" s="66">
        <f t="shared" si="107"/>
        <v>0</v>
      </c>
      <c r="H530" s="66">
        <f t="shared" si="107"/>
        <v>0</v>
      </c>
      <c r="I530" s="67">
        <f t="shared" si="103"/>
        <v>0</v>
      </c>
      <c r="J530" s="66">
        <f t="shared" si="107"/>
        <v>0</v>
      </c>
      <c r="K530" s="67">
        <f t="shared" si="100"/>
        <v>0</v>
      </c>
      <c r="L530" s="66">
        <f t="shared" si="107"/>
        <v>0</v>
      </c>
      <c r="M530" s="67">
        <f t="shared" si="101"/>
        <v>0</v>
      </c>
      <c r="N530" s="66">
        <f t="shared" si="107"/>
        <v>0</v>
      </c>
      <c r="O530" s="67">
        <f t="shared" si="95"/>
        <v>0</v>
      </c>
    </row>
    <row r="531" spans="1:15" ht="33" hidden="1" x14ac:dyDescent="0.2">
      <c r="A531" s="64" t="str">
        <f ca="1">IF(ISERROR(MATCH(F531,Код_КВР,0)),"",INDIRECT(ADDRESS(MATCH(F531,Код_КВР,0)+1,2,,,"КВР")))</f>
        <v>Иные закупки товаров, работ и услуг для обеспечения государственных (муниципальных) нужд</v>
      </c>
      <c r="B531" s="26">
        <v>803</v>
      </c>
      <c r="C531" s="65" t="s">
        <v>73</v>
      </c>
      <c r="D531" s="65" t="s">
        <v>76</v>
      </c>
      <c r="E531" s="26" t="s">
        <v>527</v>
      </c>
      <c r="F531" s="26">
        <v>240</v>
      </c>
      <c r="G531" s="66"/>
      <c r="H531" s="66"/>
      <c r="I531" s="67">
        <f t="shared" si="103"/>
        <v>0</v>
      </c>
      <c r="J531" s="66"/>
      <c r="K531" s="67">
        <f t="shared" si="100"/>
        <v>0</v>
      </c>
      <c r="L531" s="66"/>
      <c r="M531" s="67">
        <f t="shared" si="101"/>
        <v>0</v>
      </c>
      <c r="N531" s="66"/>
      <c r="O531" s="67">
        <f t="shared" ref="O531:O594" si="108">M531+N531</f>
        <v>0</v>
      </c>
    </row>
    <row r="532" spans="1:15" x14ac:dyDescent="0.2">
      <c r="A532" s="74" t="s">
        <v>80</v>
      </c>
      <c r="B532" s="26">
        <v>803</v>
      </c>
      <c r="C532" s="65" t="s">
        <v>73</v>
      </c>
      <c r="D532" s="65" t="s">
        <v>61</v>
      </c>
      <c r="E532" s="26"/>
      <c r="F532" s="26"/>
      <c r="G532" s="66">
        <f>G533</f>
        <v>30</v>
      </c>
      <c r="H532" s="66">
        <f>H533</f>
        <v>0</v>
      </c>
      <c r="I532" s="67">
        <f t="shared" si="103"/>
        <v>30</v>
      </c>
      <c r="J532" s="66">
        <f>J533</f>
        <v>0</v>
      </c>
      <c r="K532" s="67">
        <f t="shared" si="100"/>
        <v>30</v>
      </c>
      <c r="L532" s="66">
        <f>L533</f>
        <v>498</v>
      </c>
      <c r="M532" s="67">
        <f t="shared" si="101"/>
        <v>528</v>
      </c>
      <c r="N532" s="66">
        <f>N533</f>
        <v>0</v>
      </c>
      <c r="O532" s="67">
        <f t="shared" si="108"/>
        <v>528</v>
      </c>
    </row>
    <row r="533" spans="1:15" ht="33" x14ac:dyDescent="0.2">
      <c r="A533" s="64" t="str">
        <f ca="1">IF(ISERROR(MATCH(E533,Код_КЦСР,0)),"",INDIRECT(ADDRESS(MATCH(E533,Код_КЦСР,0)+1,2,,,"КЦСР")))</f>
        <v>Муниципальная программа «Развитие жилищно-коммунального хозяйства города Череповца» на 2014 – 2020 годы</v>
      </c>
      <c r="B533" s="26">
        <v>803</v>
      </c>
      <c r="C533" s="65" t="s">
        <v>73</v>
      </c>
      <c r="D533" s="65" t="s">
        <v>61</v>
      </c>
      <c r="E533" s="26" t="s">
        <v>341</v>
      </c>
      <c r="F533" s="26"/>
      <c r="G533" s="66">
        <f t="shared" ref="G533:N536" si="109">G534</f>
        <v>30</v>
      </c>
      <c r="H533" s="66">
        <f t="shared" si="109"/>
        <v>0</v>
      </c>
      <c r="I533" s="67">
        <f t="shared" si="103"/>
        <v>30</v>
      </c>
      <c r="J533" s="66">
        <f t="shared" si="109"/>
        <v>0</v>
      </c>
      <c r="K533" s="67">
        <f t="shared" si="100"/>
        <v>30</v>
      </c>
      <c r="L533" s="66">
        <f t="shared" si="109"/>
        <v>498</v>
      </c>
      <c r="M533" s="67">
        <f t="shared" si="101"/>
        <v>528</v>
      </c>
      <c r="N533" s="66">
        <f t="shared" si="109"/>
        <v>0</v>
      </c>
      <c r="O533" s="67">
        <f t="shared" si="108"/>
        <v>528</v>
      </c>
    </row>
    <row r="534" spans="1:15" x14ac:dyDescent="0.2">
      <c r="A534" s="64" t="str">
        <f ca="1">IF(ISERROR(MATCH(E534,Код_КЦСР,0)),"",INDIRECT(ADDRESS(MATCH(E534,Код_КЦСР,0)+1,2,,,"КЦСР")))</f>
        <v>Развитие благоустройства города</v>
      </c>
      <c r="B534" s="26">
        <v>803</v>
      </c>
      <c r="C534" s="65" t="s">
        <v>73</v>
      </c>
      <c r="D534" s="65" t="s">
        <v>61</v>
      </c>
      <c r="E534" s="26" t="s">
        <v>342</v>
      </c>
      <c r="F534" s="26"/>
      <c r="G534" s="66">
        <f t="shared" si="109"/>
        <v>30</v>
      </c>
      <c r="H534" s="66">
        <f t="shared" si="109"/>
        <v>0</v>
      </c>
      <c r="I534" s="67">
        <f t="shared" si="103"/>
        <v>30</v>
      </c>
      <c r="J534" s="66">
        <f t="shared" si="109"/>
        <v>0</v>
      </c>
      <c r="K534" s="67">
        <f t="shared" si="100"/>
        <v>30</v>
      </c>
      <c r="L534" s="66">
        <f t="shared" si="109"/>
        <v>498</v>
      </c>
      <c r="M534" s="67">
        <f t="shared" si="101"/>
        <v>528</v>
      </c>
      <c r="N534" s="66">
        <f t="shared" si="109"/>
        <v>0</v>
      </c>
      <c r="O534" s="67">
        <f t="shared" si="108"/>
        <v>528</v>
      </c>
    </row>
    <row r="535" spans="1:15" ht="33" x14ac:dyDescent="0.2">
      <c r="A535" s="64" t="str">
        <f ca="1">IF(ISERROR(MATCH(E535,Код_КЦСР,0)),"",INDIRECT(ADDRESS(MATCH(E535,Код_КЦСР,0)+1,2,,,"КЦСР")))</f>
        <v>Мероприятия по решению общегосударственных вопросов и вопросов в области национальной политики</v>
      </c>
      <c r="B535" s="26">
        <v>803</v>
      </c>
      <c r="C535" s="65" t="s">
        <v>73</v>
      </c>
      <c r="D535" s="65" t="s">
        <v>61</v>
      </c>
      <c r="E535" s="26" t="s">
        <v>347</v>
      </c>
      <c r="F535" s="26"/>
      <c r="G535" s="66">
        <f t="shared" si="109"/>
        <v>30</v>
      </c>
      <c r="H535" s="66">
        <f t="shared" si="109"/>
        <v>0</v>
      </c>
      <c r="I535" s="67">
        <f t="shared" si="103"/>
        <v>30</v>
      </c>
      <c r="J535" s="66">
        <f t="shared" si="109"/>
        <v>0</v>
      </c>
      <c r="K535" s="67">
        <f t="shared" si="100"/>
        <v>30</v>
      </c>
      <c r="L535" s="66">
        <f t="shared" si="109"/>
        <v>498</v>
      </c>
      <c r="M535" s="67">
        <f t="shared" si="101"/>
        <v>528</v>
      </c>
      <c r="N535" s="66">
        <f t="shared" si="109"/>
        <v>0</v>
      </c>
      <c r="O535" s="67">
        <f t="shared" si="108"/>
        <v>528</v>
      </c>
    </row>
    <row r="536" spans="1:15" ht="33" x14ac:dyDescent="0.2">
      <c r="A536" s="64" t="str">
        <f ca="1">IF(ISERROR(MATCH(F536,Код_КВР,0)),"",INDIRECT(ADDRESS(MATCH(F536,Код_КВР,0)+1,2,,,"КВР")))</f>
        <v>Закупка товаров, работ и услуг для обеспечения государственных (муниципальных) нужд</v>
      </c>
      <c r="B536" s="26">
        <v>803</v>
      </c>
      <c r="C536" s="65" t="s">
        <v>73</v>
      </c>
      <c r="D536" s="65" t="s">
        <v>61</v>
      </c>
      <c r="E536" s="26" t="s">
        <v>347</v>
      </c>
      <c r="F536" s="26">
        <v>200</v>
      </c>
      <c r="G536" s="66">
        <f t="shared" si="109"/>
        <v>30</v>
      </c>
      <c r="H536" s="66">
        <f t="shared" si="109"/>
        <v>0</v>
      </c>
      <c r="I536" s="67">
        <f t="shared" si="103"/>
        <v>30</v>
      </c>
      <c r="J536" s="66">
        <f t="shared" si="109"/>
        <v>0</v>
      </c>
      <c r="K536" s="67">
        <f t="shared" si="100"/>
        <v>30</v>
      </c>
      <c r="L536" s="66">
        <f t="shared" si="109"/>
        <v>498</v>
      </c>
      <c r="M536" s="67">
        <f t="shared" si="101"/>
        <v>528</v>
      </c>
      <c r="N536" s="66">
        <f t="shared" si="109"/>
        <v>0</v>
      </c>
      <c r="O536" s="67">
        <f t="shared" si="108"/>
        <v>528</v>
      </c>
    </row>
    <row r="537" spans="1:15" ht="33" x14ac:dyDescent="0.2">
      <c r="A537" s="64" t="str">
        <f ca="1">IF(ISERROR(MATCH(F537,Код_КВР,0)),"",INDIRECT(ADDRESS(MATCH(F537,Код_КВР,0)+1,2,,,"КВР")))</f>
        <v>Иные закупки товаров, работ и услуг для обеспечения государственных (муниципальных) нужд</v>
      </c>
      <c r="B537" s="26">
        <v>803</v>
      </c>
      <c r="C537" s="65" t="s">
        <v>73</v>
      </c>
      <c r="D537" s="65" t="s">
        <v>61</v>
      </c>
      <c r="E537" s="26" t="s">
        <v>347</v>
      </c>
      <c r="F537" s="26">
        <v>240</v>
      </c>
      <c r="G537" s="66">
        <v>30</v>
      </c>
      <c r="H537" s="66"/>
      <c r="I537" s="67">
        <f t="shared" si="103"/>
        <v>30</v>
      </c>
      <c r="J537" s="66"/>
      <c r="K537" s="67">
        <f t="shared" si="100"/>
        <v>30</v>
      </c>
      <c r="L537" s="66">
        <v>498</v>
      </c>
      <c r="M537" s="67">
        <f t="shared" si="101"/>
        <v>528</v>
      </c>
      <c r="N537" s="66"/>
      <c r="O537" s="67">
        <f t="shared" si="108"/>
        <v>528</v>
      </c>
    </row>
    <row r="538" spans="1:15" x14ac:dyDescent="0.2">
      <c r="A538" s="64" t="str">
        <f ca="1">IF(ISERROR(MATCH(C538,Код_Раздел,0)),"",INDIRECT(ADDRESS(MATCH(C538,Код_Раздел,0)+1,2,,,"Раздел")))</f>
        <v>Жилищно-коммунальное хозяйство</v>
      </c>
      <c r="B538" s="26">
        <v>803</v>
      </c>
      <c r="C538" s="65" t="s">
        <v>78</v>
      </c>
      <c r="D538" s="65"/>
      <c r="E538" s="26"/>
      <c r="F538" s="26"/>
      <c r="G538" s="66">
        <f>G539+G570+G583</f>
        <v>203095.30000000002</v>
      </c>
      <c r="H538" s="66">
        <f>H539+H570+H583</f>
        <v>0</v>
      </c>
      <c r="I538" s="67">
        <f t="shared" si="103"/>
        <v>203095.30000000002</v>
      </c>
      <c r="J538" s="66">
        <f>J539+J570+J583</f>
        <v>-1.1000000000000001</v>
      </c>
      <c r="K538" s="67">
        <f t="shared" si="100"/>
        <v>203094.2</v>
      </c>
      <c r="L538" s="66">
        <f>L539+L570+L583</f>
        <v>8093.5</v>
      </c>
      <c r="M538" s="67">
        <f t="shared" si="101"/>
        <v>211187.7</v>
      </c>
      <c r="N538" s="66">
        <f>N539+N570+N583</f>
        <v>107122.59999999999</v>
      </c>
      <c r="O538" s="67">
        <f t="shared" si="108"/>
        <v>318310.3</v>
      </c>
    </row>
    <row r="539" spans="1:15" x14ac:dyDescent="0.2">
      <c r="A539" s="74" t="s">
        <v>83</v>
      </c>
      <c r="B539" s="26">
        <v>803</v>
      </c>
      <c r="C539" s="65" t="s">
        <v>78</v>
      </c>
      <c r="D539" s="65" t="s">
        <v>70</v>
      </c>
      <c r="E539" s="26"/>
      <c r="F539" s="26"/>
      <c r="G539" s="66">
        <f>G548+G553</f>
        <v>35766.200000000004</v>
      </c>
      <c r="H539" s="66">
        <f>H548+H553</f>
        <v>0</v>
      </c>
      <c r="I539" s="67">
        <f t="shared" si="103"/>
        <v>35766.200000000004</v>
      </c>
      <c r="J539" s="66">
        <f>J548+J553</f>
        <v>-1.1000000000000001</v>
      </c>
      <c r="K539" s="67">
        <f t="shared" si="100"/>
        <v>35765.100000000006</v>
      </c>
      <c r="L539" s="66">
        <f>L548+L553</f>
        <v>5528.3</v>
      </c>
      <c r="M539" s="67">
        <f t="shared" si="101"/>
        <v>41293.400000000009</v>
      </c>
      <c r="N539" s="66">
        <f>N548+N553+N540</f>
        <v>108020.7</v>
      </c>
      <c r="O539" s="67">
        <f t="shared" si="108"/>
        <v>149314.1</v>
      </c>
    </row>
    <row r="540" spans="1:15" ht="33" x14ac:dyDescent="0.2">
      <c r="A540" s="64" t="str">
        <f ca="1">IF(ISERROR(MATCH(E540,Код_КЦСР,0)),"",INDIRECT(ADDRESS(MATCH(E540,Код_КЦСР,0)+1,2,,,"КЦСР")))</f>
        <v>Муниципальная программа «Формирование современной городской среды муниципального образования «Город Череповец» на 2018 – 2022 годы</v>
      </c>
      <c r="B540" s="26">
        <v>803</v>
      </c>
      <c r="C540" s="65" t="s">
        <v>78</v>
      </c>
      <c r="D540" s="65" t="s">
        <v>70</v>
      </c>
      <c r="E540" s="26" t="s">
        <v>710</v>
      </c>
      <c r="F540" s="26"/>
      <c r="G540" s="66"/>
      <c r="H540" s="66"/>
      <c r="I540" s="67"/>
      <c r="J540" s="66"/>
      <c r="K540" s="67"/>
      <c r="L540" s="66"/>
      <c r="M540" s="67"/>
      <c r="N540" s="66">
        <f>N541</f>
        <v>108086.39999999999</v>
      </c>
      <c r="O540" s="67">
        <f t="shared" si="108"/>
        <v>108086.39999999999</v>
      </c>
    </row>
    <row r="541" spans="1:15" ht="27" customHeight="1" x14ac:dyDescent="0.2">
      <c r="A541" s="64" t="str">
        <f ca="1">IF(ISERROR(MATCH(E541,Код_КЦСР,0)),"",INDIRECT(ADDRESS(MATCH(E541,Код_КЦСР,0)+1,2,,,"КЦСР")))</f>
        <v>Благоустройство дворовых территорий многоквартирных домов</v>
      </c>
      <c r="B541" s="26">
        <v>803</v>
      </c>
      <c r="C541" s="65" t="s">
        <v>78</v>
      </c>
      <c r="D541" s="65" t="s">
        <v>70</v>
      </c>
      <c r="E541" s="26" t="s">
        <v>714</v>
      </c>
      <c r="F541" s="26"/>
      <c r="G541" s="66"/>
      <c r="H541" s="66"/>
      <c r="I541" s="67"/>
      <c r="J541" s="66"/>
      <c r="K541" s="67"/>
      <c r="L541" s="66"/>
      <c r="M541" s="67"/>
      <c r="N541" s="66">
        <f>N542+N545</f>
        <v>108086.39999999999</v>
      </c>
      <c r="O541" s="67">
        <f t="shared" si="108"/>
        <v>108086.39999999999</v>
      </c>
    </row>
    <row r="542" spans="1:15" ht="33" x14ac:dyDescent="0.2">
      <c r="A542" s="64" t="str">
        <f ca="1">IF(ISERROR(MATCH(E542,Код_КЦСР,0)),"",INDIRECT(ADDRESS(MATCH(E542,Код_КЦСР,0)+1,2,,,"КЦСР")))</f>
        <v xml:space="preserve">Благоустройство дворовых территорий многоквартирных домов, в рамках софинансирования </v>
      </c>
      <c r="B542" s="26">
        <v>803</v>
      </c>
      <c r="C542" s="65" t="s">
        <v>78</v>
      </c>
      <c r="D542" s="65" t="s">
        <v>70</v>
      </c>
      <c r="E542" s="26" t="s">
        <v>712</v>
      </c>
      <c r="F542" s="26"/>
      <c r="G542" s="66"/>
      <c r="H542" s="66"/>
      <c r="I542" s="67"/>
      <c r="J542" s="66"/>
      <c r="K542" s="67"/>
      <c r="L542" s="66"/>
      <c r="M542" s="67"/>
      <c r="N542" s="66">
        <f>N543</f>
        <v>18014.400000000001</v>
      </c>
      <c r="O542" s="67">
        <f t="shared" si="108"/>
        <v>18014.400000000001</v>
      </c>
    </row>
    <row r="543" spans="1:15" ht="21.75" customHeight="1" x14ac:dyDescent="0.2">
      <c r="A543" s="64" t="str">
        <f ca="1">IF(ISERROR(MATCH(F543,Код_КВР,0)),"",INDIRECT(ADDRESS(MATCH(F543,Код_КВР,0)+1,2,,,"КВР")))</f>
        <v>Иные бюджетные ассигнования</v>
      </c>
      <c r="B543" s="26">
        <v>803</v>
      </c>
      <c r="C543" s="65" t="s">
        <v>78</v>
      </c>
      <c r="D543" s="65" t="s">
        <v>70</v>
      </c>
      <c r="E543" s="26" t="s">
        <v>712</v>
      </c>
      <c r="F543" s="26">
        <v>800</v>
      </c>
      <c r="G543" s="66"/>
      <c r="H543" s="66"/>
      <c r="I543" s="67"/>
      <c r="J543" s="66"/>
      <c r="K543" s="67"/>
      <c r="L543" s="66"/>
      <c r="M543" s="67"/>
      <c r="N543" s="66">
        <f>N544</f>
        <v>18014.400000000001</v>
      </c>
      <c r="O543" s="67">
        <f t="shared" si="108"/>
        <v>18014.400000000001</v>
      </c>
    </row>
    <row r="544" spans="1:15" ht="51" customHeight="1" x14ac:dyDescent="0.2">
      <c r="A544" s="64" t="str">
        <f ca="1">IF(ISERROR(MATCH(F544,Код_КВР,0)),"",INDIRECT(ADDRESS(MATCH(F544,Код_КВР,0)+1,2,,,"КВР")))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544" s="26">
        <v>803</v>
      </c>
      <c r="C544" s="65" t="s">
        <v>78</v>
      </c>
      <c r="D544" s="65" t="s">
        <v>70</v>
      </c>
      <c r="E544" s="26" t="s">
        <v>712</v>
      </c>
      <c r="F544" s="26">
        <v>810</v>
      </c>
      <c r="G544" s="66"/>
      <c r="H544" s="66"/>
      <c r="I544" s="67"/>
      <c r="J544" s="66"/>
      <c r="K544" s="67"/>
      <c r="L544" s="66"/>
      <c r="M544" s="67"/>
      <c r="N544" s="66">
        <v>18014.400000000001</v>
      </c>
      <c r="O544" s="67">
        <f t="shared" si="108"/>
        <v>18014.400000000001</v>
      </c>
    </row>
    <row r="545" spans="1:15" ht="51" customHeight="1" x14ac:dyDescent="0.2">
      <c r="A545" s="64" t="str">
        <f ca="1">IF(ISERROR(MATCH(E545,Код_КЦСР,0)),"",INDIRECT(ADDRESS(MATCH(E545,Код_КЦСР,0)+1,2,,,"КЦСР")))</f>
        <v>Благоустройство дворовых территорий многоквартирных домов, за счет средств вышестоящих бюджетов</v>
      </c>
      <c r="B545" s="26">
        <v>803</v>
      </c>
      <c r="C545" s="65" t="s">
        <v>78</v>
      </c>
      <c r="D545" s="65" t="s">
        <v>70</v>
      </c>
      <c r="E545" s="26" t="s">
        <v>713</v>
      </c>
      <c r="F545" s="26"/>
      <c r="G545" s="66"/>
      <c r="H545" s="66"/>
      <c r="I545" s="67"/>
      <c r="J545" s="66"/>
      <c r="K545" s="67"/>
      <c r="L545" s="66"/>
      <c r="M545" s="67"/>
      <c r="N545" s="66">
        <f>N546</f>
        <v>90072</v>
      </c>
      <c r="O545" s="67">
        <f t="shared" si="108"/>
        <v>90072</v>
      </c>
    </row>
    <row r="546" spans="1:15" ht="31.5" customHeight="1" x14ac:dyDescent="0.2">
      <c r="A546" s="64" t="str">
        <f ca="1">IF(ISERROR(MATCH(F546,Код_КВР,0)),"",INDIRECT(ADDRESS(MATCH(F546,Код_КВР,0)+1,2,,,"КВР")))</f>
        <v>Иные бюджетные ассигнования</v>
      </c>
      <c r="B546" s="26">
        <v>803</v>
      </c>
      <c r="C546" s="65" t="s">
        <v>78</v>
      </c>
      <c r="D546" s="65" t="s">
        <v>70</v>
      </c>
      <c r="E546" s="26" t="s">
        <v>713</v>
      </c>
      <c r="F546" s="26">
        <v>800</v>
      </c>
      <c r="G546" s="66"/>
      <c r="H546" s="66"/>
      <c r="I546" s="67"/>
      <c r="J546" s="66"/>
      <c r="K546" s="67"/>
      <c r="L546" s="66"/>
      <c r="M546" s="67"/>
      <c r="N546" s="66">
        <f>N547</f>
        <v>90072</v>
      </c>
      <c r="O546" s="67">
        <f t="shared" si="108"/>
        <v>90072</v>
      </c>
    </row>
    <row r="547" spans="1:15" ht="51" customHeight="1" x14ac:dyDescent="0.2">
      <c r="A547" s="64" t="str">
        <f ca="1">IF(ISERROR(MATCH(F547,Код_КВР,0)),"",INDIRECT(ADDRESS(MATCH(F547,Код_КВР,0)+1,2,,,"КВР")))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547" s="26">
        <v>803</v>
      </c>
      <c r="C547" s="65" t="s">
        <v>78</v>
      </c>
      <c r="D547" s="65" t="s">
        <v>70</v>
      </c>
      <c r="E547" s="26" t="s">
        <v>713</v>
      </c>
      <c r="F547" s="26">
        <v>810</v>
      </c>
      <c r="G547" s="66"/>
      <c r="H547" s="66"/>
      <c r="I547" s="67"/>
      <c r="J547" s="66"/>
      <c r="K547" s="67"/>
      <c r="L547" s="66"/>
      <c r="M547" s="67"/>
      <c r="N547" s="66">
        <v>90072</v>
      </c>
      <c r="O547" s="67">
        <f t="shared" si="108"/>
        <v>90072</v>
      </c>
    </row>
    <row r="548" spans="1:15" ht="49.5" x14ac:dyDescent="0.2">
      <c r="A548" s="64" t="str">
        <f ca="1">IF(ISERROR(MATCH(E548,Код_КЦСР,0)),"",INDIRECT(ADDRESS(MATCH(E548,Код_КЦСР,0)+1,2,,,"КЦСР")))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2020 годы</v>
      </c>
      <c r="B548" s="26">
        <v>803</v>
      </c>
      <c r="C548" s="65" t="s">
        <v>78</v>
      </c>
      <c r="D548" s="65" t="s">
        <v>70</v>
      </c>
      <c r="E548" s="26" t="s">
        <v>334</v>
      </c>
      <c r="F548" s="26"/>
      <c r="G548" s="66">
        <f t="shared" ref="G548:N551" si="110">G549</f>
        <v>298.89999999999998</v>
      </c>
      <c r="H548" s="66">
        <f t="shared" si="110"/>
        <v>0</v>
      </c>
      <c r="I548" s="67">
        <f t="shared" si="103"/>
        <v>298.89999999999998</v>
      </c>
      <c r="J548" s="66">
        <f t="shared" si="110"/>
        <v>0</v>
      </c>
      <c r="K548" s="67">
        <f t="shared" si="100"/>
        <v>298.89999999999998</v>
      </c>
      <c r="L548" s="66">
        <f t="shared" si="110"/>
        <v>0</v>
      </c>
      <c r="M548" s="67">
        <f t="shared" si="101"/>
        <v>298.89999999999998</v>
      </c>
      <c r="N548" s="66">
        <f t="shared" si="110"/>
        <v>0</v>
      </c>
      <c r="O548" s="67">
        <f t="shared" si="108"/>
        <v>298.89999999999998</v>
      </c>
    </row>
    <row r="549" spans="1:15" ht="33" x14ac:dyDescent="0.2">
      <c r="A549" s="64" t="str">
        <f ca="1">IF(ISERROR(MATCH(E549,Код_КЦСР,0)),"",INDIRECT(ADDRESS(MATCH(E549,Код_КЦСР,0)+1,2,,,"КЦСР")))</f>
        <v>Энергосбережение и повышение энергетической эффективности в жилищном фонде</v>
      </c>
      <c r="B549" s="26">
        <v>803</v>
      </c>
      <c r="C549" s="65" t="s">
        <v>78</v>
      </c>
      <c r="D549" s="65" t="s">
        <v>70</v>
      </c>
      <c r="E549" s="26" t="s">
        <v>335</v>
      </c>
      <c r="F549" s="26"/>
      <c r="G549" s="66">
        <f t="shared" si="110"/>
        <v>298.89999999999998</v>
      </c>
      <c r="H549" s="66">
        <f t="shared" si="110"/>
        <v>0</v>
      </c>
      <c r="I549" s="67">
        <f t="shared" si="103"/>
        <v>298.89999999999998</v>
      </c>
      <c r="J549" s="66">
        <f t="shared" si="110"/>
        <v>0</v>
      </c>
      <c r="K549" s="67">
        <f t="shared" si="100"/>
        <v>298.89999999999998</v>
      </c>
      <c r="L549" s="66">
        <f t="shared" si="110"/>
        <v>0</v>
      </c>
      <c r="M549" s="67">
        <f t="shared" si="101"/>
        <v>298.89999999999998</v>
      </c>
      <c r="N549" s="66">
        <f t="shared" si="110"/>
        <v>0</v>
      </c>
      <c r="O549" s="67">
        <f t="shared" si="108"/>
        <v>298.89999999999998</v>
      </c>
    </row>
    <row r="550" spans="1:15" ht="33" x14ac:dyDescent="0.2">
      <c r="A550" s="64" t="str">
        <f ca="1">IF(ISERROR(MATCH(E550,Код_КЦСР,0)),"",INDIRECT(ADDRESS(MATCH(E550,Код_КЦСР,0)+1,2,,,"КЦСР")))</f>
        <v>Оснащение индивидуальными приборами учета коммунальных ресурсов жилых помещений в многоквартирных домах</v>
      </c>
      <c r="B550" s="26">
        <v>803</v>
      </c>
      <c r="C550" s="65" t="s">
        <v>78</v>
      </c>
      <c r="D550" s="65" t="s">
        <v>70</v>
      </c>
      <c r="E550" s="26" t="s">
        <v>336</v>
      </c>
      <c r="F550" s="26"/>
      <c r="G550" s="66">
        <f t="shared" si="110"/>
        <v>298.89999999999998</v>
      </c>
      <c r="H550" s="66">
        <f t="shared" si="110"/>
        <v>0</v>
      </c>
      <c r="I550" s="67">
        <f t="shared" si="103"/>
        <v>298.89999999999998</v>
      </c>
      <c r="J550" s="66">
        <f t="shared" si="110"/>
        <v>0</v>
      </c>
      <c r="K550" s="67">
        <f t="shared" si="100"/>
        <v>298.89999999999998</v>
      </c>
      <c r="L550" s="66">
        <f t="shared" si="110"/>
        <v>0</v>
      </c>
      <c r="M550" s="67">
        <f t="shared" si="101"/>
        <v>298.89999999999998</v>
      </c>
      <c r="N550" s="66">
        <f t="shared" si="110"/>
        <v>0</v>
      </c>
      <c r="O550" s="67">
        <f t="shared" si="108"/>
        <v>298.89999999999998</v>
      </c>
    </row>
    <row r="551" spans="1:15" ht="33" x14ac:dyDescent="0.2">
      <c r="A551" s="64" t="str">
        <f ca="1">IF(ISERROR(MATCH(F551,Код_КВР,0)),"",INDIRECT(ADDRESS(MATCH(F551,Код_КВР,0)+1,2,,,"КВР")))</f>
        <v>Закупка товаров, работ и услуг для обеспечения государственных (муниципальных) нужд</v>
      </c>
      <c r="B551" s="26">
        <v>803</v>
      </c>
      <c r="C551" s="65" t="s">
        <v>78</v>
      </c>
      <c r="D551" s="65" t="s">
        <v>70</v>
      </c>
      <c r="E551" s="26" t="s">
        <v>336</v>
      </c>
      <c r="F551" s="26">
        <v>200</v>
      </c>
      <c r="G551" s="66">
        <f t="shared" si="110"/>
        <v>298.89999999999998</v>
      </c>
      <c r="H551" s="66">
        <f t="shared" si="110"/>
        <v>0</v>
      </c>
      <c r="I551" s="67">
        <f t="shared" si="103"/>
        <v>298.89999999999998</v>
      </c>
      <c r="J551" s="66">
        <f t="shared" si="110"/>
        <v>0</v>
      </c>
      <c r="K551" s="67">
        <f t="shared" si="100"/>
        <v>298.89999999999998</v>
      </c>
      <c r="L551" s="66">
        <f t="shared" si="110"/>
        <v>0</v>
      </c>
      <c r="M551" s="67">
        <f t="shared" si="101"/>
        <v>298.89999999999998</v>
      </c>
      <c r="N551" s="66">
        <f t="shared" si="110"/>
        <v>0</v>
      </c>
      <c r="O551" s="67">
        <f t="shared" si="108"/>
        <v>298.89999999999998</v>
      </c>
    </row>
    <row r="552" spans="1:15" ht="33" x14ac:dyDescent="0.2">
      <c r="A552" s="64" t="str">
        <f ca="1">IF(ISERROR(MATCH(F552,Код_КВР,0)),"",INDIRECT(ADDRESS(MATCH(F552,Код_КВР,0)+1,2,,,"КВР")))</f>
        <v>Иные закупки товаров, работ и услуг для обеспечения государственных (муниципальных) нужд</v>
      </c>
      <c r="B552" s="26">
        <v>803</v>
      </c>
      <c r="C552" s="65" t="s">
        <v>78</v>
      </c>
      <c r="D552" s="65" t="s">
        <v>70</v>
      </c>
      <c r="E552" s="26" t="s">
        <v>336</v>
      </c>
      <c r="F552" s="26">
        <v>240</v>
      </c>
      <c r="G552" s="66">
        <v>298.89999999999998</v>
      </c>
      <c r="H552" s="66"/>
      <c r="I552" s="67">
        <f t="shared" si="103"/>
        <v>298.89999999999998</v>
      </c>
      <c r="J552" s="66"/>
      <c r="K552" s="67">
        <f t="shared" si="100"/>
        <v>298.89999999999998</v>
      </c>
      <c r="L552" s="66"/>
      <c r="M552" s="67">
        <f t="shared" si="101"/>
        <v>298.89999999999998</v>
      </c>
      <c r="N552" s="66"/>
      <c r="O552" s="67">
        <f t="shared" si="108"/>
        <v>298.89999999999998</v>
      </c>
    </row>
    <row r="553" spans="1:15" ht="33" x14ac:dyDescent="0.2">
      <c r="A553" s="64" t="str">
        <f ca="1">IF(ISERROR(MATCH(E553,Код_КЦСР,0)),"",INDIRECT(ADDRESS(MATCH(E553,Код_КЦСР,0)+1,2,,,"КЦСР")))</f>
        <v>Муниципальная программа «Развитие жилищно-коммунального хозяйства города Череповца» на 2014 – 2020 годы</v>
      </c>
      <c r="B553" s="26">
        <v>803</v>
      </c>
      <c r="C553" s="65" t="s">
        <v>78</v>
      </c>
      <c r="D553" s="65" t="s">
        <v>70</v>
      </c>
      <c r="E553" s="26" t="s">
        <v>341</v>
      </c>
      <c r="F553" s="26"/>
      <c r="G553" s="66">
        <f>G554</f>
        <v>35467.300000000003</v>
      </c>
      <c r="H553" s="66">
        <f>H554</f>
        <v>0</v>
      </c>
      <c r="I553" s="67">
        <f t="shared" si="103"/>
        <v>35467.300000000003</v>
      </c>
      <c r="J553" s="66">
        <f>J554</f>
        <v>-1.1000000000000001</v>
      </c>
      <c r="K553" s="67">
        <f t="shared" si="100"/>
        <v>35466.200000000004</v>
      </c>
      <c r="L553" s="66">
        <f>L554</f>
        <v>5528.3</v>
      </c>
      <c r="M553" s="67">
        <f t="shared" si="101"/>
        <v>40994.500000000007</v>
      </c>
      <c r="N553" s="66">
        <f>N554</f>
        <v>-65.7</v>
      </c>
      <c r="O553" s="67">
        <f t="shared" si="108"/>
        <v>40928.80000000001</v>
      </c>
    </row>
    <row r="554" spans="1:15" x14ac:dyDescent="0.2">
      <c r="A554" s="64" t="str">
        <f ca="1">IF(ISERROR(MATCH(E554,Код_КЦСР,0)),"",INDIRECT(ADDRESS(MATCH(E554,Код_КЦСР,0)+1,2,,,"КЦСР")))</f>
        <v>Содержание и ремонт жилищного фонда</v>
      </c>
      <c r="B554" s="26">
        <v>803</v>
      </c>
      <c r="C554" s="65" t="s">
        <v>78</v>
      </c>
      <c r="D554" s="65" t="s">
        <v>70</v>
      </c>
      <c r="E554" s="26" t="s">
        <v>350</v>
      </c>
      <c r="F554" s="26"/>
      <c r="G554" s="66">
        <f>G555+G558+G561+G564</f>
        <v>35467.300000000003</v>
      </c>
      <c r="H554" s="66">
        <f>H555+H558+H561+H564</f>
        <v>0</v>
      </c>
      <c r="I554" s="67">
        <f t="shared" si="103"/>
        <v>35467.300000000003</v>
      </c>
      <c r="J554" s="66">
        <f>J555+J558+J561+J564</f>
        <v>-1.1000000000000001</v>
      </c>
      <c r="K554" s="67">
        <f t="shared" si="100"/>
        <v>35466.200000000004</v>
      </c>
      <c r="L554" s="66">
        <f>L555+L558+L561+L564+L567</f>
        <v>5528.3</v>
      </c>
      <c r="M554" s="67">
        <f t="shared" si="101"/>
        <v>40994.500000000007</v>
      </c>
      <c r="N554" s="66">
        <f>N555+N558+N561+N564+N567</f>
        <v>-65.7</v>
      </c>
      <c r="O554" s="67">
        <f t="shared" si="108"/>
        <v>40928.80000000001</v>
      </c>
    </row>
    <row r="555" spans="1:15" x14ac:dyDescent="0.2">
      <c r="A555" s="64" t="str">
        <f ca="1">IF(ISERROR(MATCH(E555,Код_КЦСР,0)),"",INDIRECT(ADDRESS(MATCH(E555,Код_КЦСР,0)+1,2,,,"КЦСР")))</f>
        <v>Капитальный ремонт жилищного фонда</v>
      </c>
      <c r="B555" s="26">
        <v>803</v>
      </c>
      <c r="C555" s="65" t="s">
        <v>78</v>
      </c>
      <c r="D555" s="65" t="s">
        <v>70</v>
      </c>
      <c r="E555" s="26" t="s">
        <v>351</v>
      </c>
      <c r="F555" s="26"/>
      <c r="G555" s="66">
        <f>G556</f>
        <v>500</v>
      </c>
      <c r="H555" s="66">
        <f>H556</f>
        <v>0</v>
      </c>
      <c r="I555" s="67">
        <f t="shared" si="103"/>
        <v>500</v>
      </c>
      <c r="J555" s="66">
        <f>J556</f>
        <v>0</v>
      </c>
      <c r="K555" s="67">
        <f t="shared" si="100"/>
        <v>500</v>
      </c>
      <c r="L555" s="66">
        <f>L556</f>
        <v>0</v>
      </c>
      <c r="M555" s="67">
        <f t="shared" si="101"/>
        <v>500</v>
      </c>
      <c r="N555" s="66">
        <f>N556</f>
        <v>0</v>
      </c>
      <c r="O555" s="67">
        <f t="shared" si="108"/>
        <v>500</v>
      </c>
    </row>
    <row r="556" spans="1:15" ht="33" x14ac:dyDescent="0.2">
      <c r="A556" s="64" t="str">
        <f ca="1">IF(ISERROR(MATCH(F556,Код_КВР,0)),"",INDIRECT(ADDRESS(MATCH(F556,Код_КВР,0)+1,2,,,"КВР")))</f>
        <v>Закупка товаров, работ и услуг для обеспечения государственных (муниципальных) нужд</v>
      </c>
      <c r="B556" s="26">
        <v>803</v>
      </c>
      <c r="C556" s="65" t="s">
        <v>78</v>
      </c>
      <c r="D556" s="65" t="s">
        <v>70</v>
      </c>
      <c r="E556" s="26" t="s">
        <v>351</v>
      </c>
      <c r="F556" s="26">
        <v>200</v>
      </c>
      <c r="G556" s="66">
        <f t="shared" ref="G556:N556" si="111">G557</f>
        <v>500</v>
      </c>
      <c r="H556" s="66">
        <f t="shared" si="111"/>
        <v>0</v>
      </c>
      <c r="I556" s="67">
        <f t="shared" si="103"/>
        <v>500</v>
      </c>
      <c r="J556" s="66">
        <f t="shared" si="111"/>
        <v>0</v>
      </c>
      <c r="K556" s="67">
        <f t="shared" si="100"/>
        <v>500</v>
      </c>
      <c r="L556" s="66">
        <f t="shared" si="111"/>
        <v>0</v>
      </c>
      <c r="M556" s="67">
        <f t="shared" si="101"/>
        <v>500</v>
      </c>
      <c r="N556" s="66">
        <f t="shared" si="111"/>
        <v>0</v>
      </c>
      <c r="O556" s="67">
        <f t="shared" si="108"/>
        <v>500</v>
      </c>
    </row>
    <row r="557" spans="1:15" ht="33" x14ac:dyDescent="0.2">
      <c r="A557" s="64" t="str">
        <f ca="1">IF(ISERROR(MATCH(F557,Код_КВР,0)),"",INDIRECT(ADDRESS(MATCH(F557,Код_КВР,0)+1,2,,,"КВР")))</f>
        <v>Иные закупки товаров, работ и услуг для обеспечения государственных (муниципальных) нужд</v>
      </c>
      <c r="B557" s="26">
        <v>803</v>
      </c>
      <c r="C557" s="65" t="s">
        <v>78</v>
      </c>
      <c r="D557" s="65" t="s">
        <v>70</v>
      </c>
      <c r="E557" s="26" t="s">
        <v>351</v>
      </c>
      <c r="F557" s="26">
        <v>240</v>
      </c>
      <c r="G557" s="66">
        <v>500</v>
      </c>
      <c r="H557" s="66"/>
      <c r="I557" s="67">
        <f t="shared" si="103"/>
        <v>500</v>
      </c>
      <c r="J557" s="66"/>
      <c r="K557" s="67">
        <f t="shared" si="100"/>
        <v>500</v>
      </c>
      <c r="L557" s="66"/>
      <c r="M557" s="67">
        <f t="shared" si="101"/>
        <v>500</v>
      </c>
      <c r="N557" s="66"/>
      <c r="O557" s="67">
        <f t="shared" si="108"/>
        <v>500</v>
      </c>
    </row>
    <row r="558" spans="1:15" ht="33" x14ac:dyDescent="0.2">
      <c r="A558" s="64" t="str">
        <f ca="1">IF(ISERROR(MATCH(E558,Код_КЦСР,0)),"",INDIRECT(ADDRESS(MATCH(E558,Код_КЦСР,0)+1,2,,,"КЦСР")))</f>
        <v>Содержание и ремонт временно незаселенных жилых помещений муниципального жилищного фонда</v>
      </c>
      <c r="B558" s="26">
        <v>803</v>
      </c>
      <c r="C558" s="65" t="s">
        <v>78</v>
      </c>
      <c r="D558" s="65" t="s">
        <v>70</v>
      </c>
      <c r="E558" s="26" t="s">
        <v>352</v>
      </c>
      <c r="F558" s="26"/>
      <c r="G558" s="66">
        <f t="shared" ref="G558:N559" si="112">G559</f>
        <v>3484.1</v>
      </c>
      <c r="H558" s="66">
        <f t="shared" si="112"/>
        <v>0</v>
      </c>
      <c r="I558" s="67">
        <f t="shared" si="103"/>
        <v>3484.1</v>
      </c>
      <c r="J558" s="66">
        <f t="shared" si="112"/>
        <v>0</v>
      </c>
      <c r="K558" s="67">
        <f t="shared" ref="K558:K624" si="113">I558+J558</f>
        <v>3484.1</v>
      </c>
      <c r="L558" s="66">
        <f t="shared" si="112"/>
        <v>0</v>
      </c>
      <c r="M558" s="67">
        <f t="shared" ref="M558:M624" si="114">K558+L558</f>
        <v>3484.1</v>
      </c>
      <c r="N558" s="66">
        <f t="shared" si="112"/>
        <v>0</v>
      </c>
      <c r="O558" s="67">
        <f t="shared" si="108"/>
        <v>3484.1</v>
      </c>
    </row>
    <row r="559" spans="1:15" ht="33" x14ac:dyDescent="0.2">
      <c r="A559" s="64" t="str">
        <f ca="1">IF(ISERROR(MATCH(F559,Код_КВР,0)),"",INDIRECT(ADDRESS(MATCH(F559,Код_КВР,0)+1,2,,,"КВР")))</f>
        <v>Закупка товаров, работ и услуг для обеспечения государственных (муниципальных) нужд</v>
      </c>
      <c r="B559" s="26">
        <v>803</v>
      </c>
      <c r="C559" s="65" t="s">
        <v>78</v>
      </c>
      <c r="D559" s="65" t="s">
        <v>70</v>
      </c>
      <c r="E559" s="26" t="s">
        <v>352</v>
      </c>
      <c r="F559" s="26">
        <v>200</v>
      </c>
      <c r="G559" s="66">
        <f t="shared" si="112"/>
        <v>3484.1</v>
      </c>
      <c r="H559" s="66">
        <f t="shared" si="112"/>
        <v>0</v>
      </c>
      <c r="I559" s="67">
        <f t="shared" si="103"/>
        <v>3484.1</v>
      </c>
      <c r="J559" s="66">
        <f t="shared" si="112"/>
        <v>0</v>
      </c>
      <c r="K559" s="67">
        <f t="shared" si="113"/>
        <v>3484.1</v>
      </c>
      <c r="L559" s="66">
        <f t="shared" si="112"/>
        <v>0</v>
      </c>
      <c r="M559" s="67">
        <f t="shared" si="114"/>
        <v>3484.1</v>
      </c>
      <c r="N559" s="66">
        <f t="shared" si="112"/>
        <v>0</v>
      </c>
      <c r="O559" s="67">
        <f t="shared" si="108"/>
        <v>3484.1</v>
      </c>
    </row>
    <row r="560" spans="1:15" ht="33" x14ac:dyDescent="0.2">
      <c r="A560" s="64" t="str">
        <f ca="1">IF(ISERROR(MATCH(F560,Код_КВР,0)),"",INDIRECT(ADDRESS(MATCH(F560,Код_КВР,0)+1,2,,,"КВР")))</f>
        <v>Иные закупки товаров, работ и услуг для обеспечения государственных (муниципальных) нужд</v>
      </c>
      <c r="B560" s="26">
        <v>803</v>
      </c>
      <c r="C560" s="65" t="s">
        <v>78</v>
      </c>
      <c r="D560" s="65" t="s">
        <v>70</v>
      </c>
      <c r="E560" s="26" t="s">
        <v>352</v>
      </c>
      <c r="F560" s="26">
        <v>240</v>
      </c>
      <c r="G560" s="66">
        <v>3484.1</v>
      </c>
      <c r="H560" s="66"/>
      <c r="I560" s="67">
        <f t="shared" si="103"/>
        <v>3484.1</v>
      </c>
      <c r="J560" s="66"/>
      <c r="K560" s="67">
        <f t="shared" si="113"/>
        <v>3484.1</v>
      </c>
      <c r="L560" s="66"/>
      <c r="M560" s="67">
        <f t="shared" si="114"/>
        <v>3484.1</v>
      </c>
      <c r="N560" s="66"/>
      <c r="O560" s="67">
        <f t="shared" si="108"/>
        <v>3484.1</v>
      </c>
    </row>
    <row r="561" spans="1:15" ht="33" x14ac:dyDescent="0.2">
      <c r="A561" s="64" t="str">
        <f ca="1">IF(ISERROR(MATCH(E561,Код_КЦСР,0)),"",INDIRECT(ADDRESS(MATCH(E561,Код_КЦСР,0)+1,2,,,"КЦСР")))</f>
        <v>Осуществление полномочий собственника муниципального жилищного фонда в части внесения взносов в фонд капитального ремонта</v>
      </c>
      <c r="B561" s="26">
        <v>803</v>
      </c>
      <c r="C561" s="65" t="s">
        <v>78</v>
      </c>
      <c r="D561" s="65" t="s">
        <v>70</v>
      </c>
      <c r="E561" s="26" t="s">
        <v>353</v>
      </c>
      <c r="F561" s="26"/>
      <c r="G561" s="67">
        <f t="shared" ref="G561:N562" si="115">G562</f>
        <v>20983.200000000001</v>
      </c>
      <c r="H561" s="67">
        <f t="shared" si="115"/>
        <v>0</v>
      </c>
      <c r="I561" s="67">
        <f t="shared" si="103"/>
        <v>20983.200000000001</v>
      </c>
      <c r="J561" s="67">
        <f t="shared" si="115"/>
        <v>-1.1000000000000001</v>
      </c>
      <c r="K561" s="67">
        <f t="shared" si="113"/>
        <v>20982.100000000002</v>
      </c>
      <c r="L561" s="67">
        <f t="shared" si="115"/>
        <v>-744</v>
      </c>
      <c r="M561" s="67">
        <f t="shared" si="114"/>
        <v>20238.100000000002</v>
      </c>
      <c r="N561" s="67">
        <f t="shared" si="115"/>
        <v>-65.7</v>
      </c>
      <c r="O561" s="67">
        <f t="shared" si="108"/>
        <v>20172.400000000001</v>
      </c>
    </row>
    <row r="562" spans="1:15" ht="33" x14ac:dyDescent="0.2">
      <c r="A562" s="64" t="str">
        <f ca="1">IF(ISERROR(MATCH(F562,Код_КВР,0)),"",INDIRECT(ADDRESS(MATCH(F562,Код_КВР,0)+1,2,,,"КВР")))</f>
        <v>Закупка товаров, работ и услуг для обеспечения государственных (муниципальных) нужд</v>
      </c>
      <c r="B562" s="26">
        <v>803</v>
      </c>
      <c r="C562" s="65" t="s">
        <v>78</v>
      </c>
      <c r="D562" s="65" t="s">
        <v>70</v>
      </c>
      <c r="E562" s="26" t="s">
        <v>353</v>
      </c>
      <c r="F562" s="26">
        <v>200</v>
      </c>
      <c r="G562" s="67">
        <f t="shared" si="115"/>
        <v>20983.200000000001</v>
      </c>
      <c r="H562" s="67">
        <f t="shared" si="115"/>
        <v>0</v>
      </c>
      <c r="I562" s="67">
        <f t="shared" si="103"/>
        <v>20983.200000000001</v>
      </c>
      <c r="J562" s="67">
        <f t="shared" si="115"/>
        <v>-1.1000000000000001</v>
      </c>
      <c r="K562" s="67">
        <f t="shared" si="113"/>
        <v>20982.100000000002</v>
      </c>
      <c r="L562" s="67">
        <f t="shared" si="115"/>
        <v>-744</v>
      </c>
      <c r="M562" s="67">
        <f t="shared" si="114"/>
        <v>20238.100000000002</v>
      </c>
      <c r="N562" s="67">
        <f t="shared" si="115"/>
        <v>-65.7</v>
      </c>
      <c r="O562" s="67">
        <f t="shared" si="108"/>
        <v>20172.400000000001</v>
      </c>
    </row>
    <row r="563" spans="1:15" ht="33" x14ac:dyDescent="0.2">
      <c r="A563" s="64" t="str">
        <f ca="1">IF(ISERROR(MATCH(F563,Код_КВР,0)),"",INDIRECT(ADDRESS(MATCH(F563,Код_КВР,0)+1,2,,,"КВР")))</f>
        <v>Иные закупки товаров, работ и услуг для обеспечения государственных (муниципальных) нужд</v>
      </c>
      <c r="B563" s="26">
        <v>803</v>
      </c>
      <c r="C563" s="65" t="s">
        <v>78</v>
      </c>
      <c r="D563" s="65" t="s">
        <v>70</v>
      </c>
      <c r="E563" s="26" t="s">
        <v>353</v>
      </c>
      <c r="F563" s="26">
        <v>240</v>
      </c>
      <c r="G563" s="67">
        <v>20983.200000000001</v>
      </c>
      <c r="H563" s="67"/>
      <c r="I563" s="67">
        <f t="shared" si="103"/>
        <v>20983.200000000001</v>
      </c>
      <c r="J563" s="67">
        <v>-1.1000000000000001</v>
      </c>
      <c r="K563" s="67">
        <f t="shared" si="113"/>
        <v>20982.100000000002</v>
      </c>
      <c r="L563" s="67">
        <f>-149.9-30.7-65.4-498</f>
        <v>-744</v>
      </c>
      <c r="M563" s="67">
        <f t="shared" si="114"/>
        <v>20238.100000000002</v>
      </c>
      <c r="N563" s="67">
        <f>-40-25-0.7</f>
        <v>-65.7</v>
      </c>
      <c r="O563" s="67">
        <f t="shared" si="108"/>
        <v>20172.400000000001</v>
      </c>
    </row>
    <row r="564" spans="1:15" ht="33" x14ac:dyDescent="0.2">
      <c r="A564" s="64" t="str">
        <f ca="1">IF(ISERROR(MATCH(E564,Код_КЦСР,0)),"",INDIRECT(ADDRESS(MATCH(E564,Код_КЦСР,0)+1,2,,,"КЦСР")))</f>
        <v>Предоставление финансовой поддержки в виде субсидий на капитальный ремонт жилищного фонда (включая установку элементов благоустройства)</v>
      </c>
      <c r="B564" s="26">
        <v>803</v>
      </c>
      <c r="C564" s="65" t="s">
        <v>78</v>
      </c>
      <c r="D564" s="65" t="s">
        <v>70</v>
      </c>
      <c r="E564" s="26" t="s">
        <v>452</v>
      </c>
      <c r="F564" s="26"/>
      <c r="G564" s="67">
        <f>G565</f>
        <v>10500</v>
      </c>
      <c r="H564" s="67">
        <f>H565</f>
        <v>0</v>
      </c>
      <c r="I564" s="67">
        <f t="shared" si="103"/>
        <v>10500</v>
      </c>
      <c r="J564" s="67">
        <f>J565</f>
        <v>0</v>
      </c>
      <c r="K564" s="67">
        <f t="shared" si="113"/>
        <v>10500</v>
      </c>
      <c r="L564" s="67">
        <f>L565</f>
        <v>0</v>
      </c>
      <c r="M564" s="67">
        <f t="shared" si="114"/>
        <v>10500</v>
      </c>
      <c r="N564" s="67">
        <f>N565</f>
        <v>0</v>
      </c>
      <c r="O564" s="67">
        <f t="shared" si="108"/>
        <v>10500</v>
      </c>
    </row>
    <row r="565" spans="1:15" x14ac:dyDescent="0.2">
      <c r="A565" s="64" t="str">
        <f ca="1">IF(ISERROR(MATCH(F565,Код_КВР,0)),"",INDIRECT(ADDRESS(MATCH(F565,Код_КВР,0)+1,2,,,"КВР")))</f>
        <v>Иные бюджетные ассигнования</v>
      </c>
      <c r="B565" s="26">
        <v>803</v>
      </c>
      <c r="C565" s="65" t="s">
        <v>78</v>
      </c>
      <c r="D565" s="65" t="s">
        <v>70</v>
      </c>
      <c r="E565" s="26" t="s">
        <v>452</v>
      </c>
      <c r="F565" s="26">
        <v>800</v>
      </c>
      <c r="G565" s="67">
        <f>G566</f>
        <v>10500</v>
      </c>
      <c r="H565" s="67">
        <f>H566</f>
        <v>0</v>
      </c>
      <c r="I565" s="67">
        <f t="shared" si="103"/>
        <v>10500</v>
      </c>
      <c r="J565" s="67">
        <f>J566</f>
        <v>0</v>
      </c>
      <c r="K565" s="67">
        <f t="shared" si="113"/>
        <v>10500</v>
      </c>
      <c r="L565" s="67">
        <f>L566</f>
        <v>0</v>
      </c>
      <c r="M565" s="67">
        <f t="shared" si="114"/>
        <v>10500</v>
      </c>
      <c r="N565" s="67">
        <f>N566</f>
        <v>0</v>
      </c>
      <c r="O565" s="67">
        <f t="shared" si="108"/>
        <v>10500</v>
      </c>
    </row>
    <row r="566" spans="1:15" ht="49.5" x14ac:dyDescent="0.2">
      <c r="A566" s="64" t="str">
        <f ca="1">IF(ISERROR(MATCH(F566,Код_КВР,0)),"",INDIRECT(ADDRESS(MATCH(F566,Код_КВР,0)+1,2,,,"КВР")))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566" s="26">
        <v>803</v>
      </c>
      <c r="C566" s="65" t="s">
        <v>78</v>
      </c>
      <c r="D566" s="65" t="s">
        <v>70</v>
      </c>
      <c r="E566" s="26" t="s">
        <v>452</v>
      </c>
      <c r="F566" s="26">
        <v>810</v>
      </c>
      <c r="G566" s="67">
        <v>10500</v>
      </c>
      <c r="H566" s="67"/>
      <c r="I566" s="67">
        <f t="shared" si="103"/>
        <v>10500</v>
      </c>
      <c r="J566" s="67"/>
      <c r="K566" s="67">
        <f t="shared" si="113"/>
        <v>10500</v>
      </c>
      <c r="L566" s="67"/>
      <c r="M566" s="67">
        <f t="shared" si="114"/>
        <v>10500</v>
      </c>
      <c r="N566" s="67"/>
      <c r="O566" s="67">
        <f t="shared" si="108"/>
        <v>10500</v>
      </c>
    </row>
    <row r="567" spans="1:15" ht="49.5" x14ac:dyDescent="0.2">
      <c r="A567" s="64" t="str">
        <f ca="1">IF(ISERROR(MATCH(E567,Код_КЦСР,0)),"",INDIRECT(ADDRESS(MATCH(E567,Код_КЦСР,0)+1,2,,,"КЦСР")))</f>
        <v>Возмещение затрат по проведению капитального ремонта штукатурных фасадов  многоквартирных домов, прилегающих к общественно-массовым зонам, территориям</v>
      </c>
      <c r="B567" s="26">
        <v>803</v>
      </c>
      <c r="C567" s="65" t="s">
        <v>78</v>
      </c>
      <c r="D567" s="65" t="s">
        <v>70</v>
      </c>
      <c r="E567" s="26" t="s">
        <v>685</v>
      </c>
      <c r="F567" s="26"/>
      <c r="G567" s="67"/>
      <c r="H567" s="67"/>
      <c r="I567" s="67"/>
      <c r="J567" s="67"/>
      <c r="K567" s="67"/>
      <c r="L567" s="67">
        <f>L568</f>
        <v>6272.3</v>
      </c>
      <c r="M567" s="67">
        <f t="shared" si="114"/>
        <v>6272.3</v>
      </c>
      <c r="N567" s="67">
        <f>N568</f>
        <v>0</v>
      </c>
      <c r="O567" s="67">
        <f t="shared" si="108"/>
        <v>6272.3</v>
      </c>
    </row>
    <row r="568" spans="1:15" x14ac:dyDescent="0.2">
      <c r="A568" s="64" t="str">
        <f ca="1">IF(ISERROR(MATCH(F568,Код_КВР,0)),"",INDIRECT(ADDRESS(MATCH(F568,Код_КВР,0)+1,2,,,"КВР")))</f>
        <v>Иные бюджетные ассигнования</v>
      </c>
      <c r="B568" s="26">
        <v>803</v>
      </c>
      <c r="C568" s="65" t="s">
        <v>78</v>
      </c>
      <c r="D568" s="65" t="s">
        <v>70</v>
      </c>
      <c r="E568" s="26" t="s">
        <v>685</v>
      </c>
      <c r="F568" s="26">
        <v>800</v>
      </c>
      <c r="G568" s="67"/>
      <c r="H568" s="67"/>
      <c r="I568" s="67"/>
      <c r="J568" s="67"/>
      <c r="K568" s="67"/>
      <c r="L568" s="67">
        <f>L569</f>
        <v>6272.3</v>
      </c>
      <c r="M568" s="67">
        <f t="shared" si="114"/>
        <v>6272.3</v>
      </c>
      <c r="N568" s="67">
        <f>N569</f>
        <v>0</v>
      </c>
      <c r="O568" s="67">
        <f t="shared" si="108"/>
        <v>6272.3</v>
      </c>
    </row>
    <row r="569" spans="1:15" ht="49.5" x14ac:dyDescent="0.2">
      <c r="A569" s="64" t="str">
        <f ca="1">IF(ISERROR(MATCH(F569,Код_КВР,0)),"",INDIRECT(ADDRESS(MATCH(F569,Код_КВР,0)+1,2,,,"КВР")))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569" s="26">
        <v>803</v>
      </c>
      <c r="C569" s="65" t="s">
        <v>78</v>
      </c>
      <c r="D569" s="65" t="s">
        <v>70</v>
      </c>
      <c r="E569" s="26" t="s">
        <v>685</v>
      </c>
      <c r="F569" s="26">
        <v>810</v>
      </c>
      <c r="G569" s="67"/>
      <c r="H569" s="67"/>
      <c r="I569" s="67"/>
      <c r="J569" s="67"/>
      <c r="K569" s="67"/>
      <c r="L569" s="67">
        <v>6272.3</v>
      </c>
      <c r="M569" s="67">
        <f t="shared" si="114"/>
        <v>6272.3</v>
      </c>
      <c r="N569" s="67"/>
      <c r="O569" s="67">
        <f t="shared" si="108"/>
        <v>6272.3</v>
      </c>
    </row>
    <row r="570" spans="1:15" x14ac:dyDescent="0.2">
      <c r="A570" s="64" t="s">
        <v>104</v>
      </c>
      <c r="B570" s="26">
        <v>803</v>
      </c>
      <c r="C570" s="65" t="s">
        <v>78</v>
      </c>
      <c r="D570" s="65" t="s">
        <v>72</v>
      </c>
      <c r="E570" s="26"/>
      <c r="F570" s="26"/>
      <c r="G570" s="66">
        <f>G571+G576</f>
        <v>147740.4</v>
      </c>
      <c r="H570" s="66">
        <f>H571+H576</f>
        <v>0</v>
      </c>
      <c r="I570" s="67">
        <f t="shared" si="103"/>
        <v>147740.4</v>
      </c>
      <c r="J570" s="66">
        <f>J571+J576</f>
        <v>0</v>
      </c>
      <c r="K570" s="67">
        <f t="shared" si="113"/>
        <v>147740.4</v>
      </c>
      <c r="L570" s="66">
        <f>L571+L576</f>
        <v>2499.8000000000002</v>
      </c>
      <c r="M570" s="67">
        <f t="shared" si="114"/>
        <v>150240.19999999998</v>
      </c>
      <c r="N570" s="66">
        <f>N571+N576</f>
        <v>-898.1</v>
      </c>
      <c r="O570" s="67">
        <f t="shared" si="108"/>
        <v>149342.09999999998</v>
      </c>
    </row>
    <row r="571" spans="1:15" ht="33" customHeight="1" x14ac:dyDescent="0.2">
      <c r="A571" s="64" t="str">
        <f ca="1">IF(ISERROR(MATCH(E571,Код_КЦСР,0)),"",INDIRECT(ADDRESS(MATCH(E571,Код_КЦСР,0)+1,2,,,"КЦСР")))</f>
        <v>Муниципальная программа «Развитие культуры и туризма в городе Череповце» на 2016 – 2022 годы</v>
      </c>
      <c r="B571" s="26">
        <v>803</v>
      </c>
      <c r="C571" s="65" t="s">
        <v>78</v>
      </c>
      <c r="D571" s="65" t="s">
        <v>72</v>
      </c>
      <c r="E571" s="26" t="s">
        <v>232</v>
      </c>
      <c r="F571" s="26"/>
      <c r="G571" s="66">
        <f t="shared" ref="G571:N574" si="116">G572</f>
        <v>84.2</v>
      </c>
      <c r="H571" s="66">
        <f t="shared" si="116"/>
        <v>0</v>
      </c>
      <c r="I571" s="67">
        <f t="shared" si="103"/>
        <v>84.2</v>
      </c>
      <c r="J571" s="66">
        <f t="shared" si="116"/>
        <v>0</v>
      </c>
      <c r="K571" s="67">
        <f t="shared" si="113"/>
        <v>84.2</v>
      </c>
      <c r="L571" s="66">
        <f t="shared" si="116"/>
        <v>0</v>
      </c>
      <c r="M571" s="67">
        <f t="shared" si="114"/>
        <v>84.2</v>
      </c>
      <c r="N571" s="66">
        <f t="shared" si="116"/>
        <v>0</v>
      </c>
      <c r="O571" s="67">
        <f t="shared" si="108"/>
        <v>84.2</v>
      </c>
    </row>
    <row r="572" spans="1:15" x14ac:dyDescent="0.2">
      <c r="A572" s="64" t="str">
        <f ca="1">IF(ISERROR(MATCH(E572,Код_КЦСР,0)),"",INDIRECT(ADDRESS(MATCH(E572,Код_КЦСР,0)+1,2,,,"КЦСР")))</f>
        <v>Досуг</v>
      </c>
      <c r="B572" s="26">
        <v>803</v>
      </c>
      <c r="C572" s="65" t="s">
        <v>78</v>
      </c>
      <c r="D572" s="65" t="s">
        <v>72</v>
      </c>
      <c r="E572" s="26" t="s">
        <v>255</v>
      </c>
      <c r="F572" s="26"/>
      <c r="G572" s="66">
        <f t="shared" si="116"/>
        <v>84.2</v>
      </c>
      <c r="H572" s="66">
        <f t="shared" si="116"/>
        <v>0</v>
      </c>
      <c r="I572" s="67">
        <f t="shared" si="103"/>
        <v>84.2</v>
      </c>
      <c r="J572" s="66">
        <f t="shared" si="116"/>
        <v>0</v>
      </c>
      <c r="K572" s="67">
        <f t="shared" si="113"/>
        <v>84.2</v>
      </c>
      <c r="L572" s="66">
        <f t="shared" si="116"/>
        <v>0</v>
      </c>
      <c r="M572" s="67">
        <f t="shared" si="114"/>
        <v>84.2</v>
      </c>
      <c r="N572" s="66">
        <f t="shared" si="116"/>
        <v>0</v>
      </c>
      <c r="O572" s="67">
        <f t="shared" si="108"/>
        <v>84.2</v>
      </c>
    </row>
    <row r="573" spans="1:15" ht="25.5" customHeight="1" x14ac:dyDescent="0.2">
      <c r="A573" s="64" t="str">
        <f ca="1">IF(ISERROR(MATCH(E573,Код_КЦСР,0)),"",INDIRECT(ADDRESS(MATCH(E573,Код_КЦСР,0)+1,2,,,"КЦСР")))</f>
        <v>Организация и проведение городских культурно-массовых мероприятий</v>
      </c>
      <c r="B573" s="26">
        <v>803</v>
      </c>
      <c r="C573" s="65" t="s">
        <v>78</v>
      </c>
      <c r="D573" s="65" t="s">
        <v>72</v>
      </c>
      <c r="E573" s="26" t="s">
        <v>259</v>
      </c>
      <c r="F573" s="26"/>
      <c r="G573" s="66">
        <f t="shared" si="116"/>
        <v>84.2</v>
      </c>
      <c r="H573" s="66">
        <f t="shared" si="116"/>
        <v>0</v>
      </c>
      <c r="I573" s="67">
        <f t="shared" ref="I573:I636" si="117">G573+H573</f>
        <v>84.2</v>
      </c>
      <c r="J573" s="66">
        <f t="shared" si="116"/>
        <v>0</v>
      </c>
      <c r="K573" s="67">
        <f t="shared" si="113"/>
        <v>84.2</v>
      </c>
      <c r="L573" s="66">
        <f t="shared" si="116"/>
        <v>0</v>
      </c>
      <c r="M573" s="67">
        <f t="shared" si="114"/>
        <v>84.2</v>
      </c>
      <c r="N573" s="66">
        <f t="shared" si="116"/>
        <v>0</v>
      </c>
      <c r="O573" s="67">
        <f t="shared" si="108"/>
        <v>84.2</v>
      </c>
    </row>
    <row r="574" spans="1:15" ht="33" x14ac:dyDescent="0.2">
      <c r="A574" s="64" t="str">
        <f ca="1">IF(ISERROR(MATCH(F574,Код_КВР,0)),"",INDIRECT(ADDRESS(MATCH(F574,Код_КВР,0)+1,2,,,"КВР")))</f>
        <v>Закупка товаров, работ и услуг для обеспечения государственных (муниципальных) нужд</v>
      </c>
      <c r="B574" s="26">
        <v>803</v>
      </c>
      <c r="C574" s="65" t="s">
        <v>78</v>
      </c>
      <c r="D574" s="65" t="s">
        <v>72</v>
      </c>
      <c r="E574" s="26" t="s">
        <v>259</v>
      </c>
      <c r="F574" s="26">
        <v>200</v>
      </c>
      <c r="G574" s="66">
        <f t="shared" si="116"/>
        <v>84.2</v>
      </c>
      <c r="H574" s="66">
        <f t="shared" si="116"/>
        <v>0</v>
      </c>
      <c r="I574" s="67">
        <f t="shared" si="117"/>
        <v>84.2</v>
      </c>
      <c r="J574" s="66">
        <f t="shared" si="116"/>
        <v>0</v>
      </c>
      <c r="K574" s="67">
        <f t="shared" si="113"/>
        <v>84.2</v>
      </c>
      <c r="L574" s="66">
        <f t="shared" si="116"/>
        <v>0</v>
      </c>
      <c r="M574" s="67">
        <f t="shared" si="114"/>
        <v>84.2</v>
      </c>
      <c r="N574" s="66">
        <f t="shared" si="116"/>
        <v>0</v>
      </c>
      <c r="O574" s="67">
        <f t="shared" si="108"/>
        <v>84.2</v>
      </c>
    </row>
    <row r="575" spans="1:15" ht="33" x14ac:dyDescent="0.2">
      <c r="A575" s="64" t="str">
        <f ca="1">IF(ISERROR(MATCH(F575,Код_КВР,0)),"",INDIRECT(ADDRESS(MATCH(F575,Код_КВР,0)+1,2,,,"КВР")))</f>
        <v>Иные закупки товаров, работ и услуг для обеспечения государственных (муниципальных) нужд</v>
      </c>
      <c r="B575" s="26">
        <v>803</v>
      </c>
      <c r="C575" s="65" t="s">
        <v>78</v>
      </c>
      <c r="D575" s="65" t="s">
        <v>72</v>
      </c>
      <c r="E575" s="26" t="s">
        <v>259</v>
      </c>
      <c r="F575" s="26">
        <v>240</v>
      </c>
      <c r="G575" s="66">
        <v>84.2</v>
      </c>
      <c r="H575" s="66"/>
      <c r="I575" s="67">
        <f t="shared" si="117"/>
        <v>84.2</v>
      </c>
      <c r="J575" s="66"/>
      <c r="K575" s="67">
        <f t="shared" si="113"/>
        <v>84.2</v>
      </c>
      <c r="L575" s="66"/>
      <c r="M575" s="67">
        <f t="shared" si="114"/>
        <v>84.2</v>
      </c>
      <c r="N575" s="66"/>
      <c r="O575" s="67">
        <f t="shared" si="108"/>
        <v>84.2</v>
      </c>
    </row>
    <row r="576" spans="1:15" ht="33" x14ac:dyDescent="0.2">
      <c r="A576" s="64" t="str">
        <f ca="1">IF(ISERROR(MATCH(E576,Код_КЦСР,0)),"",INDIRECT(ADDRESS(MATCH(E576,Код_КЦСР,0)+1,2,,,"КЦСР")))</f>
        <v>Муниципальная программа «Развитие жилищно-коммунального хозяйства города Череповца» на 2014 – 2020 годы</v>
      </c>
      <c r="B576" s="26">
        <v>803</v>
      </c>
      <c r="C576" s="65" t="s">
        <v>78</v>
      </c>
      <c r="D576" s="65" t="s">
        <v>72</v>
      </c>
      <c r="E576" s="26" t="s">
        <v>341</v>
      </c>
      <c r="F576" s="26"/>
      <c r="G576" s="66">
        <f>G577</f>
        <v>147656.19999999998</v>
      </c>
      <c r="H576" s="66">
        <f>H577</f>
        <v>0</v>
      </c>
      <c r="I576" s="67">
        <f t="shared" si="117"/>
        <v>147656.19999999998</v>
      </c>
      <c r="J576" s="66">
        <f>J577</f>
        <v>0</v>
      </c>
      <c r="K576" s="67">
        <f t="shared" si="113"/>
        <v>147656.19999999998</v>
      </c>
      <c r="L576" s="66">
        <f>L577</f>
        <v>2499.8000000000002</v>
      </c>
      <c r="M576" s="67">
        <f t="shared" si="114"/>
        <v>150155.99999999997</v>
      </c>
      <c r="N576" s="66">
        <f>N577</f>
        <v>-898.1</v>
      </c>
      <c r="O576" s="67">
        <f t="shared" si="108"/>
        <v>149257.89999999997</v>
      </c>
    </row>
    <row r="577" spans="1:15" x14ac:dyDescent="0.2">
      <c r="A577" s="64" t="str">
        <f ca="1">IF(ISERROR(MATCH(E577,Код_КЦСР,0)),"",INDIRECT(ADDRESS(MATCH(E577,Код_КЦСР,0)+1,2,,,"КЦСР")))</f>
        <v>Развитие благоустройства города</v>
      </c>
      <c r="B577" s="26">
        <v>803</v>
      </c>
      <c r="C577" s="65" t="s">
        <v>78</v>
      </c>
      <c r="D577" s="65" t="s">
        <v>72</v>
      </c>
      <c r="E577" s="26" t="s">
        <v>342</v>
      </c>
      <c r="F577" s="26"/>
      <c r="G577" s="66">
        <f t="shared" ref="G577:N577" si="118">G578</f>
        <v>147656.19999999998</v>
      </c>
      <c r="H577" s="66">
        <f t="shared" si="118"/>
        <v>0</v>
      </c>
      <c r="I577" s="67">
        <f t="shared" si="117"/>
        <v>147656.19999999998</v>
      </c>
      <c r="J577" s="66">
        <f t="shared" si="118"/>
        <v>0</v>
      </c>
      <c r="K577" s="67">
        <f t="shared" si="113"/>
        <v>147656.19999999998</v>
      </c>
      <c r="L577" s="66">
        <f t="shared" si="118"/>
        <v>2499.8000000000002</v>
      </c>
      <c r="M577" s="67">
        <f t="shared" si="114"/>
        <v>150155.99999999997</v>
      </c>
      <c r="N577" s="66">
        <f t="shared" si="118"/>
        <v>-898.1</v>
      </c>
      <c r="O577" s="67">
        <f t="shared" si="108"/>
        <v>149257.89999999997</v>
      </c>
    </row>
    <row r="578" spans="1:15" ht="33" x14ac:dyDescent="0.2">
      <c r="A578" s="64" t="str">
        <f ca="1">IF(ISERROR(MATCH(E578,Код_КЦСР,0)),"",INDIRECT(ADDRESS(MATCH(E578,Код_КЦСР,0)+1,2,,,"КЦСР")))</f>
        <v>Мероприятия по благоустройству и повышению внешней привлекательности города</v>
      </c>
      <c r="B578" s="26">
        <v>803</v>
      </c>
      <c r="C578" s="65" t="s">
        <v>78</v>
      </c>
      <c r="D578" s="65" t="s">
        <v>72</v>
      </c>
      <c r="E578" s="26" t="s">
        <v>343</v>
      </c>
      <c r="F578" s="26"/>
      <c r="G578" s="66">
        <f>G579+G581</f>
        <v>147656.19999999998</v>
      </c>
      <c r="H578" s="66">
        <f>H579+H581</f>
        <v>0</v>
      </c>
      <c r="I578" s="67">
        <f t="shared" si="117"/>
        <v>147656.19999999998</v>
      </c>
      <c r="J578" s="66">
        <f>J579+J581</f>
        <v>0</v>
      </c>
      <c r="K578" s="67">
        <f t="shared" si="113"/>
        <v>147656.19999999998</v>
      </c>
      <c r="L578" s="66">
        <f>L579+L581</f>
        <v>2499.8000000000002</v>
      </c>
      <c r="M578" s="67">
        <f t="shared" si="114"/>
        <v>150155.99999999997</v>
      </c>
      <c r="N578" s="66">
        <f>N579+N581</f>
        <v>-898.1</v>
      </c>
      <c r="O578" s="67">
        <f t="shared" si="108"/>
        <v>149257.89999999997</v>
      </c>
    </row>
    <row r="579" spans="1:15" ht="33" x14ac:dyDescent="0.2">
      <c r="A579" s="64" t="str">
        <f ca="1">IF(ISERROR(MATCH(F579,Код_КВР,0)),"",INDIRECT(ADDRESS(MATCH(F579,Код_КВР,0)+1,2,,,"КВР")))</f>
        <v>Закупка товаров, работ и услуг для обеспечения государственных (муниципальных) нужд</v>
      </c>
      <c r="B579" s="26">
        <v>803</v>
      </c>
      <c r="C579" s="65" t="s">
        <v>78</v>
      </c>
      <c r="D579" s="65" t="s">
        <v>72</v>
      </c>
      <c r="E579" s="26" t="s">
        <v>343</v>
      </c>
      <c r="F579" s="26">
        <v>200</v>
      </c>
      <c r="G579" s="66">
        <f>G580</f>
        <v>118069.4</v>
      </c>
      <c r="H579" s="66">
        <f>H580</f>
        <v>0</v>
      </c>
      <c r="I579" s="67">
        <f t="shared" si="117"/>
        <v>118069.4</v>
      </c>
      <c r="J579" s="66">
        <f>J580</f>
        <v>0</v>
      </c>
      <c r="K579" s="67">
        <f t="shared" si="113"/>
        <v>118069.4</v>
      </c>
      <c r="L579" s="66">
        <f>L580</f>
        <v>2499.8000000000002</v>
      </c>
      <c r="M579" s="67">
        <f t="shared" si="114"/>
        <v>120569.2</v>
      </c>
      <c r="N579" s="66">
        <f>N580</f>
        <v>-898.1</v>
      </c>
      <c r="O579" s="67">
        <f t="shared" si="108"/>
        <v>119671.09999999999</v>
      </c>
    </row>
    <row r="580" spans="1:15" ht="33" x14ac:dyDescent="0.2">
      <c r="A580" s="64" t="str">
        <f ca="1">IF(ISERROR(MATCH(F580,Код_КВР,0)),"",INDIRECT(ADDRESS(MATCH(F580,Код_КВР,0)+1,2,,,"КВР")))</f>
        <v>Иные закупки товаров, работ и услуг для обеспечения государственных (муниципальных) нужд</v>
      </c>
      <c r="B580" s="26">
        <v>803</v>
      </c>
      <c r="C580" s="65" t="s">
        <v>78</v>
      </c>
      <c r="D580" s="65" t="s">
        <v>72</v>
      </c>
      <c r="E580" s="26" t="s">
        <v>343</v>
      </c>
      <c r="F580" s="26">
        <v>240</v>
      </c>
      <c r="G580" s="66">
        <v>118069.4</v>
      </c>
      <c r="H580" s="66"/>
      <c r="I580" s="67">
        <f t="shared" si="117"/>
        <v>118069.4</v>
      </c>
      <c r="J580" s="66"/>
      <c r="K580" s="67">
        <f t="shared" si="113"/>
        <v>118069.4</v>
      </c>
      <c r="L580" s="66">
        <v>2499.8000000000002</v>
      </c>
      <c r="M580" s="67">
        <f t="shared" si="114"/>
        <v>120569.2</v>
      </c>
      <c r="N580" s="66">
        <v>-898.1</v>
      </c>
      <c r="O580" s="67">
        <f t="shared" si="108"/>
        <v>119671.09999999999</v>
      </c>
    </row>
    <row r="581" spans="1:15" x14ac:dyDescent="0.2">
      <c r="A581" s="64" t="str">
        <f ca="1">IF(ISERROR(MATCH(F581,Код_КВР,0)),"",INDIRECT(ADDRESS(MATCH(F581,Код_КВР,0)+1,2,,,"КВР")))</f>
        <v>Иные бюджетные ассигнования</v>
      </c>
      <c r="B581" s="26">
        <v>803</v>
      </c>
      <c r="C581" s="65" t="s">
        <v>78</v>
      </c>
      <c r="D581" s="65" t="s">
        <v>72</v>
      </c>
      <c r="E581" s="26" t="s">
        <v>343</v>
      </c>
      <c r="F581" s="26">
        <v>800</v>
      </c>
      <c r="G581" s="66">
        <f>G582</f>
        <v>29586.799999999999</v>
      </c>
      <c r="H581" s="66">
        <f>H582</f>
        <v>0</v>
      </c>
      <c r="I581" s="67">
        <f t="shared" si="117"/>
        <v>29586.799999999999</v>
      </c>
      <c r="J581" s="66">
        <f>J582</f>
        <v>0</v>
      </c>
      <c r="K581" s="67">
        <f t="shared" si="113"/>
        <v>29586.799999999999</v>
      </c>
      <c r="L581" s="66">
        <f>L582</f>
        <v>0</v>
      </c>
      <c r="M581" s="67">
        <f t="shared" si="114"/>
        <v>29586.799999999999</v>
      </c>
      <c r="N581" s="66">
        <f>N582</f>
        <v>0</v>
      </c>
      <c r="O581" s="67">
        <f t="shared" si="108"/>
        <v>29586.799999999999</v>
      </c>
    </row>
    <row r="582" spans="1:15" ht="49.5" x14ac:dyDescent="0.2">
      <c r="A582" s="64" t="str">
        <f ca="1">IF(ISERROR(MATCH(F582,Код_КВР,0)),"",INDIRECT(ADDRESS(MATCH(F582,Код_КВР,0)+1,2,,,"КВР")))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582" s="26">
        <v>803</v>
      </c>
      <c r="C582" s="65" t="s">
        <v>78</v>
      </c>
      <c r="D582" s="65" t="s">
        <v>72</v>
      </c>
      <c r="E582" s="26" t="s">
        <v>343</v>
      </c>
      <c r="F582" s="26">
        <v>810</v>
      </c>
      <c r="G582" s="67">
        <v>29586.799999999999</v>
      </c>
      <c r="H582" s="67"/>
      <c r="I582" s="67">
        <f t="shared" si="117"/>
        <v>29586.799999999999</v>
      </c>
      <c r="J582" s="67"/>
      <c r="K582" s="67">
        <f t="shared" si="113"/>
        <v>29586.799999999999</v>
      </c>
      <c r="L582" s="67"/>
      <c r="M582" s="67">
        <f t="shared" si="114"/>
        <v>29586.799999999999</v>
      </c>
      <c r="N582" s="67"/>
      <c r="O582" s="67">
        <f t="shared" si="108"/>
        <v>29586.799999999999</v>
      </c>
    </row>
    <row r="583" spans="1:15" ht="22.5" customHeight="1" x14ac:dyDescent="0.2">
      <c r="A583" s="74" t="s">
        <v>35</v>
      </c>
      <c r="B583" s="26">
        <v>803</v>
      </c>
      <c r="C583" s="65" t="s">
        <v>78</v>
      </c>
      <c r="D583" s="65" t="s">
        <v>78</v>
      </c>
      <c r="E583" s="26"/>
      <c r="F583" s="26"/>
      <c r="G583" s="66">
        <f>G584+G592</f>
        <v>19588.7</v>
      </c>
      <c r="H583" s="66">
        <f>H584+H592</f>
        <v>0</v>
      </c>
      <c r="I583" s="67">
        <f t="shared" si="117"/>
        <v>19588.7</v>
      </c>
      <c r="J583" s="66">
        <f>J584+J592</f>
        <v>0</v>
      </c>
      <c r="K583" s="67">
        <f t="shared" si="113"/>
        <v>19588.7</v>
      </c>
      <c r="L583" s="66">
        <f>L584+L592</f>
        <v>65.400000000000006</v>
      </c>
      <c r="M583" s="67">
        <f t="shared" si="114"/>
        <v>19654.100000000002</v>
      </c>
      <c r="N583" s="66">
        <f>N584+N592</f>
        <v>0</v>
      </c>
      <c r="O583" s="67">
        <f t="shared" si="108"/>
        <v>19654.100000000002</v>
      </c>
    </row>
    <row r="584" spans="1:15" ht="33" x14ac:dyDescent="0.2">
      <c r="A584" s="64" t="str">
        <f ca="1">IF(ISERROR(MATCH(E584,Код_КЦСР,0)),"",INDIRECT(ADDRESS(MATCH(E584,Код_КЦСР,0)+1,2,,,"КЦСР")))</f>
        <v>Муниципальная программа «Развитие жилищно-коммунального хозяйства города Череповца» на 2014 – 2020 годы</v>
      </c>
      <c r="B584" s="26">
        <v>803</v>
      </c>
      <c r="C584" s="65" t="s">
        <v>78</v>
      </c>
      <c r="D584" s="65" t="s">
        <v>78</v>
      </c>
      <c r="E584" s="26" t="s">
        <v>341</v>
      </c>
      <c r="F584" s="26"/>
      <c r="G584" s="66">
        <f t="shared" ref="G584:N585" si="119">G585</f>
        <v>19568.2</v>
      </c>
      <c r="H584" s="66">
        <f t="shared" si="119"/>
        <v>0</v>
      </c>
      <c r="I584" s="67">
        <f t="shared" si="117"/>
        <v>19568.2</v>
      </c>
      <c r="J584" s="66">
        <f t="shared" si="119"/>
        <v>0</v>
      </c>
      <c r="K584" s="67">
        <f t="shared" si="113"/>
        <v>19568.2</v>
      </c>
      <c r="L584" s="66">
        <f t="shared" si="119"/>
        <v>65.400000000000006</v>
      </c>
      <c r="M584" s="67">
        <f t="shared" si="114"/>
        <v>19633.600000000002</v>
      </c>
      <c r="N584" s="66">
        <f t="shared" si="119"/>
        <v>0</v>
      </c>
      <c r="O584" s="67">
        <f t="shared" si="108"/>
        <v>19633.600000000002</v>
      </c>
    </row>
    <row r="585" spans="1:15" ht="33" x14ac:dyDescent="0.2">
      <c r="A585" s="64" t="str">
        <f ca="1">IF(ISERROR(MATCH(E585,Код_КЦСР,0)),"",INDIRECT(ADDRESS(MATCH(E585,Код_КЦСР,0)+1,2,,,"КЦСР")))</f>
        <v>Организация работ по реализации целей, задач департамента, выполнение его функциональных обязанностей и реализации муниципальной программы</v>
      </c>
      <c r="B585" s="26">
        <v>803</v>
      </c>
      <c r="C585" s="65" t="s">
        <v>78</v>
      </c>
      <c r="D585" s="65" t="s">
        <v>78</v>
      </c>
      <c r="E585" s="26" t="s">
        <v>354</v>
      </c>
      <c r="F585" s="26"/>
      <c r="G585" s="66">
        <f t="shared" si="119"/>
        <v>19568.2</v>
      </c>
      <c r="H585" s="66">
        <f t="shared" si="119"/>
        <v>0</v>
      </c>
      <c r="I585" s="67">
        <f t="shared" si="117"/>
        <v>19568.2</v>
      </c>
      <c r="J585" s="66">
        <f t="shared" si="119"/>
        <v>0</v>
      </c>
      <c r="K585" s="67">
        <f t="shared" si="113"/>
        <v>19568.2</v>
      </c>
      <c r="L585" s="66">
        <f t="shared" si="119"/>
        <v>65.400000000000006</v>
      </c>
      <c r="M585" s="67">
        <f t="shared" si="114"/>
        <v>19633.600000000002</v>
      </c>
      <c r="N585" s="66">
        <f t="shared" si="119"/>
        <v>0</v>
      </c>
      <c r="O585" s="67">
        <f t="shared" si="108"/>
        <v>19633.600000000002</v>
      </c>
    </row>
    <row r="586" spans="1:15" x14ac:dyDescent="0.2">
      <c r="A586" s="64" t="str">
        <f ca="1">IF(ISERROR(MATCH(E586,Код_КЦСР,0)),"",INDIRECT(ADDRESS(MATCH(E586,Код_КЦСР,0)+1,2,,,"КЦСР")))</f>
        <v>Расходы на обеспечение функций органов местного самоуправления</v>
      </c>
      <c r="B586" s="26">
        <v>803</v>
      </c>
      <c r="C586" s="65" t="s">
        <v>78</v>
      </c>
      <c r="D586" s="65" t="s">
        <v>78</v>
      </c>
      <c r="E586" s="26" t="s">
        <v>355</v>
      </c>
      <c r="F586" s="26"/>
      <c r="G586" s="66">
        <f>G587+G589</f>
        <v>19568.2</v>
      </c>
      <c r="H586" s="66">
        <f>H587+H589</f>
        <v>0</v>
      </c>
      <c r="I586" s="67">
        <f t="shared" si="117"/>
        <v>19568.2</v>
      </c>
      <c r="J586" s="66">
        <f>J587+J589</f>
        <v>0</v>
      </c>
      <c r="K586" s="67">
        <f t="shared" si="113"/>
        <v>19568.2</v>
      </c>
      <c r="L586" s="66">
        <f>L587+L589</f>
        <v>65.400000000000006</v>
      </c>
      <c r="M586" s="67">
        <f t="shared" si="114"/>
        <v>19633.600000000002</v>
      </c>
      <c r="N586" s="66">
        <f>N587+N589</f>
        <v>0</v>
      </c>
      <c r="O586" s="67">
        <f t="shared" si="108"/>
        <v>19633.600000000002</v>
      </c>
    </row>
    <row r="587" spans="1:15" ht="49.5" x14ac:dyDescent="0.2">
      <c r="A587" s="64" t="str">
        <f ca="1">IF(ISERROR(MATCH(F587,Код_КВР,0)),"",INDIRECT(ADDRESS(MATCH(F587,Код_КВР,0)+1,2,,,"КВР")))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7" s="26">
        <v>803</v>
      </c>
      <c r="C587" s="65" t="s">
        <v>78</v>
      </c>
      <c r="D587" s="65" t="s">
        <v>78</v>
      </c>
      <c r="E587" s="26" t="s">
        <v>355</v>
      </c>
      <c r="F587" s="26">
        <v>100</v>
      </c>
      <c r="G587" s="66">
        <f>G588</f>
        <v>19553.2</v>
      </c>
      <c r="H587" s="66">
        <f>H588</f>
        <v>0</v>
      </c>
      <c r="I587" s="67">
        <f t="shared" si="117"/>
        <v>19553.2</v>
      </c>
      <c r="J587" s="66">
        <f>J588</f>
        <v>0</v>
      </c>
      <c r="K587" s="67">
        <f t="shared" si="113"/>
        <v>19553.2</v>
      </c>
      <c r="L587" s="66">
        <f>L588</f>
        <v>0</v>
      </c>
      <c r="M587" s="67">
        <f t="shared" si="114"/>
        <v>19553.2</v>
      </c>
      <c r="N587" s="66">
        <f>N588</f>
        <v>0</v>
      </c>
      <c r="O587" s="67">
        <f t="shared" si="108"/>
        <v>19553.2</v>
      </c>
    </row>
    <row r="588" spans="1:15" x14ac:dyDescent="0.2">
      <c r="A588" s="64" t="str">
        <f ca="1">IF(ISERROR(MATCH(F588,Код_КВР,0)),"",INDIRECT(ADDRESS(MATCH(F588,Код_КВР,0)+1,2,,,"КВР")))</f>
        <v>Расходы на выплаты персоналу государственных (муниципальных) органов</v>
      </c>
      <c r="B588" s="26">
        <v>803</v>
      </c>
      <c r="C588" s="65" t="s">
        <v>78</v>
      </c>
      <c r="D588" s="65" t="s">
        <v>78</v>
      </c>
      <c r="E588" s="26" t="s">
        <v>355</v>
      </c>
      <c r="F588" s="26">
        <v>120</v>
      </c>
      <c r="G588" s="66">
        <f>14992.2+33.3+4527.7</f>
        <v>19553.2</v>
      </c>
      <c r="H588" s="66"/>
      <c r="I588" s="67">
        <f t="shared" si="117"/>
        <v>19553.2</v>
      </c>
      <c r="J588" s="66"/>
      <c r="K588" s="67">
        <f t="shared" si="113"/>
        <v>19553.2</v>
      </c>
      <c r="L588" s="66"/>
      <c r="M588" s="67">
        <f t="shared" si="114"/>
        <v>19553.2</v>
      </c>
      <c r="N588" s="66"/>
      <c r="O588" s="67">
        <f t="shared" si="108"/>
        <v>19553.2</v>
      </c>
    </row>
    <row r="589" spans="1:15" ht="33" x14ac:dyDescent="0.2">
      <c r="A589" s="64" t="str">
        <f ca="1">IF(ISERROR(MATCH(F589,Код_КВР,0)),"",INDIRECT(ADDRESS(MATCH(F589,Код_КВР,0)+1,2,,,"КВР")))</f>
        <v>Закупка товаров, работ и услуг для обеспечения государственных (муниципальных) нужд</v>
      </c>
      <c r="B589" s="26">
        <v>803</v>
      </c>
      <c r="C589" s="65" t="s">
        <v>78</v>
      </c>
      <c r="D589" s="65" t="s">
        <v>78</v>
      </c>
      <c r="E589" s="26" t="s">
        <v>355</v>
      </c>
      <c r="F589" s="26">
        <v>200</v>
      </c>
      <c r="G589" s="66">
        <f>G590</f>
        <v>15</v>
      </c>
      <c r="H589" s="66">
        <f>H590</f>
        <v>0</v>
      </c>
      <c r="I589" s="67">
        <f t="shared" si="117"/>
        <v>15</v>
      </c>
      <c r="J589" s="66">
        <f>J590</f>
        <v>0</v>
      </c>
      <c r="K589" s="67">
        <f t="shared" si="113"/>
        <v>15</v>
      </c>
      <c r="L589" s="66">
        <f>L590</f>
        <v>65.400000000000006</v>
      </c>
      <c r="M589" s="67">
        <f t="shared" si="114"/>
        <v>80.400000000000006</v>
      </c>
      <c r="N589" s="66">
        <f>N590</f>
        <v>0</v>
      </c>
      <c r="O589" s="67">
        <f t="shared" si="108"/>
        <v>80.400000000000006</v>
      </c>
    </row>
    <row r="590" spans="1:15" ht="33" x14ac:dyDescent="0.2">
      <c r="A590" s="64" t="str">
        <f ca="1">IF(ISERROR(MATCH(F590,Код_КВР,0)),"",INDIRECT(ADDRESS(MATCH(F590,Код_КВР,0)+1,2,,,"КВР")))</f>
        <v>Иные закупки товаров, работ и услуг для обеспечения государственных (муниципальных) нужд</v>
      </c>
      <c r="B590" s="26">
        <v>803</v>
      </c>
      <c r="C590" s="65" t="s">
        <v>78</v>
      </c>
      <c r="D590" s="65" t="s">
        <v>78</v>
      </c>
      <c r="E590" s="26" t="s">
        <v>355</v>
      </c>
      <c r="F590" s="26">
        <v>240</v>
      </c>
      <c r="G590" s="66">
        <v>15</v>
      </c>
      <c r="H590" s="66"/>
      <c r="I590" s="67">
        <f t="shared" si="117"/>
        <v>15</v>
      </c>
      <c r="J590" s="66"/>
      <c r="K590" s="67">
        <f t="shared" si="113"/>
        <v>15</v>
      </c>
      <c r="L590" s="66">
        <v>65.400000000000006</v>
      </c>
      <c r="M590" s="67">
        <f t="shared" si="114"/>
        <v>80.400000000000006</v>
      </c>
      <c r="N590" s="66"/>
      <c r="O590" s="67">
        <f t="shared" si="108"/>
        <v>80.400000000000006</v>
      </c>
    </row>
    <row r="591" spans="1:15" x14ac:dyDescent="0.2">
      <c r="A591" s="64" t="str">
        <f ca="1">IF(ISERROR(MATCH(E591,Код_КЦСР,0)),"",INDIRECT(ADDRESS(MATCH(E591,Код_КЦСР,0)+1,2,,,"КЦСР")))</f>
        <v>Расходы, не включенные в муниципальные программы города Череповца</v>
      </c>
      <c r="B591" s="26">
        <v>803</v>
      </c>
      <c r="C591" s="65" t="s">
        <v>78</v>
      </c>
      <c r="D591" s="65" t="s">
        <v>78</v>
      </c>
      <c r="E591" s="26" t="s">
        <v>399</v>
      </c>
      <c r="F591" s="26"/>
      <c r="G591" s="66">
        <f t="shared" ref="G591:N594" si="120">G592</f>
        <v>20.5</v>
      </c>
      <c r="H591" s="66">
        <f t="shared" si="120"/>
        <v>0</v>
      </c>
      <c r="I591" s="67">
        <f t="shared" si="117"/>
        <v>20.5</v>
      </c>
      <c r="J591" s="66">
        <f t="shared" si="120"/>
        <v>0</v>
      </c>
      <c r="K591" s="67">
        <f t="shared" si="113"/>
        <v>20.5</v>
      </c>
      <c r="L591" s="66">
        <f t="shared" si="120"/>
        <v>0</v>
      </c>
      <c r="M591" s="67">
        <f t="shared" si="114"/>
        <v>20.5</v>
      </c>
      <c r="N591" s="66">
        <f t="shared" si="120"/>
        <v>0</v>
      </c>
      <c r="O591" s="67">
        <f t="shared" si="108"/>
        <v>20.5</v>
      </c>
    </row>
    <row r="592" spans="1:15" ht="33" x14ac:dyDescent="0.2">
      <c r="A592" s="64" t="str">
        <f ca="1">IF(ISERROR(MATCH(E592,Код_КЦСР,0)),"",INDIRECT(ADDRESS(MATCH(E592,Код_КЦСР,0)+1,2,,,"КЦСР")))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592" s="26">
        <v>803</v>
      </c>
      <c r="C592" s="65" t="s">
        <v>78</v>
      </c>
      <c r="D592" s="65" t="s">
        <v>78</v>
      </c>
      <c r="E592" s="26" t="s">
        <v>415</v>
      </c>
      <c r="F592" s="26"/>
      <c r="G592" s="66">
        <f t="shared" si="120"/>
        <v>20.5</v>
      </c>
      <c r="H592" s="66">
        <f t="shared" si="120"/>
        <v>0</v>
      </c>
      <c r="I592" s="67">
        <f t="shared" si="117"/>
        <v>20.5</v>
      </c>
      <c r="J592" s="66">
        <f t="shared" si="120"/>
        <v>0</v>
      </c>
      <c r="K592" s="67">
        <f t="shared" si="113"/>
        <v>20.5</v>
      </c>
      <c r="L592" s="66">
        <f t="shared" si="120"/>
        <v>0</v>
      </c>
      <c r="M592" s="67">
        <f t="shared" si="114"/>
        <v>20.5</v>
      </c>
      <c r="N592" s="66">
        <f t="shared" si="120"/>
        <v>0</v>
      </c>
      <c r="O592" s="67">
        <f t="shared" si="108"/>
        <v>20.5</v>
      </c>
    </row>
    <row r="593" spans="1:15" x14ac:dyDescent="0.2">
      <c r="A593" s="64" t="str">
        <f ca="1">IF(ISERROR(MATCH(E593,Код_КЦСР,0)),"",INDIRECT(ADDRESS(MATCH(E593,Код_КЦСР,0)+1,2,,,"КЦСР")))</f>
        <v>Расходы на судебные издержки и исполнение судебных решений</v>
      </c>
      <c r="B593" s="26">
        <v>803</v>
      </c>
      <c r="C593" s="65" t="s">
        <v>78</v>
      </c>
      <c r="D593" s="65" t="s">
        <v>78</v>
      </c>
      <c r="E593" s="26" t="s">
        <v>416</v>
      </c>
      <c r="F593" s="26"/>
      <c r="G593" s="66">
        <f t="shared" si="120"/>
        <v>20.5</v>
      </c>
      <c r="H593" s="66">
        <f t="shared" si="120"/>
        <v>0</v>
      </c>
      <c r="I593" s="67">
        <f t="shared" si="117"/>
        <v>20.5</v>
      </c>
      <c r="J593" s="66">
        <f t="shared" si="120"/>
        <v>0</v>
      </c>
      <c r="K593" s="67">
        <f t="shared" si="113"/>
        <v>20.5</v>
      </c>
      <c r="L593" s="66">
        <f t="shared" si="120"/>
        <v>0</v>
      </c>
      <c r="M593" s="67">
        <f t="shared" si="114"/>
        <v>20.5</v>
      </c>
      <c r="N593" s="66">
        <f t="shared" si="120"/>
        <v>0</v>
      </c>
      <c r="O593" s="67">
        <f t="shared" si="108"/>
        <v>20.5</v>
      </c>
    </row>
    <row r="594" spans="1:15" x14ac:dyDescent="0.2">
      <c r="A594" s="64" t="str">
        <f ca="1">IF(ISERROR(MATCH(F594,Код_КВР,0)),"",INDIRECT(ADDRESS(MATCH(F594,Код_КВР,0)+1,2,,,"КВР")))</f>
        <v>Иные бюджетные ассигнования</v>
      </c>
      <c r="B594" s="26">
        <v>803</v>
      </c>
      <c r="C594" s="65" t="s">
        <v>78</v>
      </c>
      <c r="D594" s="65" t="s">
        <v>78</v>
      </c>
      <c r="E594" s="26" t="s">
        <v>416</v>
      </c>
      <c r="F594" s="26">
        <v>800</v>
      </c>
      <c r="G594" s="66">
        <f t="shared" si="120"/>
        <v>20.5</v>
      </c>
      <c r="H594" s="66">
        <f t="shared" si="120"/>
        <v>0</v>
      </c>
      <c r="I594" s="67">
        <f t="shared" si="117"/>
        <v>20.5</v>
      </c>
      <c r="J594" s="66">
        <f t="shared" si="120"/>
        <v>0</v>
      </c>
      <c r="K594" s="67">
        <f t="shared" si="113"/>
        <v>20.5</v>
      </c>
      <c r="L594" s="66">
        <f t="shared" si="120"/>
        <v>0</v>
      </c>
      <c r="M594" s="67">
        <f t="shared" si="114"/>
        <v>20.5</v>
      </c>
      <c r="N594" s="66">
        <f t="shared" si="120"/>
        <v>0</v>
      </c>
      <c r="O594" s="67">
        <f t="shared" si="108"/>
        <v>20.5</v>
      </c>
    </row>
    <row r="595" spans="1:15" x14ac:dyDescent="0.2">
      <c r="A595" s="64" t="str">
        <f ca="1">IF(ISERROR(MATCH(F595,Код_КВР,0)),"",INDIRECT(ADDRESS(MATCH(F595,Код_КВР,0)+1,2,,,"КВР")))</f>
        <v>Исполнение судебных актов</v>
      </c>
      <c r="B595" s="26">
        <v>803</v>
      </c>
      <c r="C595" s="65" t="s">
        <v>78</v>
      </c>
      <c r="D595" s="65" t="s">
        <v>78</v>
      </c>
      <c r="E595" s="26" t="s">
        <v>416</v>
      </c>
      <c r="F595" s="26">
        <v>830</v>
      </c>
      <c r="G595" s="66">
        <v>20.5</v>
      </c>
      <c r="H595" s="66"/>
      <c r="I595" s="67">
        <f t="shared" si="117"/>
        <v>20.5</v>
      </c>
      <c r="J595" s="66"/>
      <c r="K595" s="67">
        <f t="shared" si="113"/>
        <v>20.5</v>
      </c>
      <c r="L595" s="66"/>
      <c r="M595" s="67">
        <f t="shared" si="114"/>
        <v>20.5</v>
      </c>
      <c r="N595" s="66"/>
      <c r="O595" s="67">
        <f t="shared" ref="O595:O658" si="121">M595+N595</f>
        <v>20.5</v>
      </c>
    </row>
    <row r="596" spans="1:15" x14ac:dyDescent="0.2">
      <c r="A596" s="64" t="str">
        <f ca="1">IF(ISERROR(MATCH(C596,Код_Раздел,0)),"",INDIRECT(ADDRESS(MATCH(C596,Код_Раздел,0)+1,2,,,"Раздел")))</f>
        <v>Охрана окружающей среды</v>
      </c>
      <c r="B596" s="26">
        <v>803</v>
      </c>
      <c r="C596" s="65" t="s">
        <v>74</v>
      </c>
      <c r="D596" s="65"/>
      <c r="E596" s="26"/>
      <c r="F596" s="26"/>
      <c r="G596" s="66">
        <f t="shared" ref="G596:N600" si="122">G597</f>
        <v>35.700000000000003</v>
      </c>
      <c r="H596" s="66">
        <f t="shared" si="122"/>
        <v>0</v>
      </c>
      <c r="I596" s="67">
        <f t="shared" si="117"/>
        <v>35.700000000000003</v>
      </c>
      <c r="J596" s="66">
        <f t="shared" si="122"/>
        <v>0</v>
      </c>
      <c r="K596" s="67">
        <f t="shared" si="113"/>
        <v>35.700000000000003</v>
      </c>
      <c r="L596" s="66">
        <f t="shared" si="122"/>
        <v>0</v>
      </c>
      <c r="M596" s="67">
        <f t="shared" si="114"/>
        <v>35.700000000000003</v>
      </c>
      <c r="N596" s="66">
        <f t="shared" si="122"/>
        <v>0</v>
      </c>
      <c r="O596" s="67">
        <f t="shared" si="121"/>
        <v>35.700000000000003</v>
      </c>
    </row>
    <row r="597" spans="1:15" x14ac:dyDescent="0.2">
      <c r="A597" s="74" t="s">
        <v>106</v>
      </c>
      <c r="B597" s="26">
        <v>803</v>
      </c>
      <c r="C597" s="65" t="s">
        <v>74</v>
      </c>
      <c r="D597" s="65" t="s">
        <v>78</v>
      </c>
      <c r="E597" s="26"/>
      <c r="F597" s="26"/>
      <c r="G597" s="66">
        <f t="shared" si="122"/>
        <v>35.700000000000003</v>
      </c>
      <c r="H597" s="66">
        <f t="shared" si="122"/>
        <v>0</v>
      </c>
      <c r="I597" s="67">
        <f t="shared" si="117"/>
        <v>35.700000000000003</v>
      </c>
      <c r="J597" s="66">
        <f t="shared" si="122"/>
        <v>0</v>
      </c>
      <c r="K597" s="67">
        <f t="shared" si="113"/>
        <v>35.700000000000003</v>
      </c>
      <c r="L597" s="66">
        <f t="shared" si="122"/>
        <v>0</v>
      </c>
      <c r="M597" s="67">
        <f t="shared" si="114"/>
        <v>35.700000000000003</v>
      </c>
      <c r="N597" s="66">
        <f t="shared" si="122"/>
        <v>0</v>
      </c>
      <c r="O597" s="67">
        <f t="shared" si="121"/>
        <v>35.700000000000003</v>
      </c>
    </row>
    <row r="598" spans="1:15" ht="40.5" customHeight="1" x14ac:dyDescent="0.2">
      <c r="A598" s="64" t="str">
        <f ca="1">IF(ISERROR(MATCH(E598,Код_КЦСР,0)),"",INDIRECT(ADDRESS(MATCH(E598,Код_КЦСР,0)+1,2,,,"КЦСР")))</f>
        <v>Муниципальная программа «Охрана окружающей среды» на 2013 – 2022 годы</v>
      </c>
      <c r="B598" s="26">
        <v>803</v>
      </c>
      <c r="C598" s="65" t="s">
        <v>74</v>
      </c>
      <c r="D598" s="65" t="s">
        <v>78</v>
      </c>
      <c r="E598" s="26" t="s">
        <v>285</v>
      </c>
      <c r="F598" s="26"/>
      <c r="G598" s="66">
        <f t="shared" si="122"/>
        <v>35.700000000000003</v>
      </c>
      <c r="H598" s="66">
        <f t="shared" si="122"/>
        <v>0</v>
      </c>
      <c r="I598" s="67">
        <f t="shared" si="117"/>
        <v>35.700000000000003</v>
      </c>
      <c r="J598" s="66">
        <f t="shared" si="122"/>
        <v>0</v>
      </c>
      <c r="K598" s="67">
        <f t="shared" si="113"/>
        <v>35.700000000000003</v>
      </c>
      <c r="L598" s="66">
        <f t="shared" si="122"/>
        <v>0</v>
      </c>
      <c r="M598" s="67">
        <f t="shared" si="114"/>
        <v>35.700000000000003</v>
      </c>
      <c r="N598" s="66">
        <f t="shared" si="122"/>
        <v>0</v>
      </c>
      <c r="O598" s="67">
        <f t="shared" si="121"/>
        <v>35.700000000000003</v>
      </c>
    </row>
    <row r="599" spans="1:15" ht="180" customHeight="1" x14ac:dyDescent="0.2">
      <c r="A599" s="64" t="str">
        <f ca="1">IF(ISERROR(MATCH(E599,Код_КЦСР,0)),"",INDIRECT(ADDRESS(MATCH(E599,Код_КЦСР,0)+1,2,,,"КЦСР")))</f>
        <v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домах)</v>
      </c>
      <c r="B599" s="26">
        <v>803</v>
      </c>
      <c r="C599" s="65" t="s">
        <v>74</v>
      </c>
      <c r="D599" s="65" t="s">
        <v>78</v>
      </c>
      <c r="E599" s="26" t="s">
        <v>288</v>
      </c>
      <c r="F599" s="26"/>
      <c r="G599" s="66">
        <f t="shared" si="122"/>
        <v>35.700000000000003</v>
      </c>
      <c r="H599" s="66">
        <f t="shared" si="122"/>
        <v>0</v>
      </c>
      <c r="I599" s="67">
        <f t="shared" si="117"/>
        <v>35.700000000000003</v>
      </c>
      <c r="J599" s="66">
        <f t="shared" si="122"/>
        <v>0</v>
      </c>
      <c r="K599" s="67">
        <f t="shared" si="113"/>
        <v>35.700000000000003</v>
      </c>
      <c r="L599" s="66">
        <f t="shared" si="122"/>
        <v>0</v>
      </c>
      <c r="M599" s="67">
        <f t="shared" si="114"/>
        <v>35.700000000000003</v>
      </c>
      <c r="N599" s="66">
        <f t="shared" si="122"/>
        <v>0</v>
      </c>
      <c r="O599" s="67">
        <f t="shared" si="121"/>
        <v>35.700000000000003</v>
      </c>
    </row>
    <row r="600" spans="1:15" x14ac:dyDescent="0.2">
      <c r="A600" s="64" t="str">
        <f ca="1">IF(ISERROR(MATCH(F600,Код_КВР,0)),"",INDIRECT(ADDRESS(MATCH(F600,Код_КВР,0)+1,2,,,"КВР")))</f>
        <v>Иные бюджетные ассигнования</v>
      </c>
      <c r="B600" s="26">
        <v>803</v>
      </c>
      <c r="C600" s="65" t="s">
        <v>74</v>
      </c>
      <c r="D600" s="65" t="s">
        <v>78</v>
      </c>
      <c r="E600" s="26" t="s">
        <v>288</v>
      </c>
      <c r="F600" s="26">
        <v>800</v>
      </c>
      <c r="G600" s="66">
        <f t="shared" si="122"/>
        <v>35.700000000000003</v>
      </c>
      <c r="H600" s="66">
        <f t="shared" si="122"/>
        <v>0</v>
      </c>
      <c r="I600" s="67">
        <f t="shared" si="117"/>
        <v>35.700000000000003</v>
      </c>
      <c r="J600" s="66">
        <f t="shared" si="122"/>
        <v>0</v>
      </c>
      <c r="K600" s="67">
        <f t="shared" si="113"/>
        <v>35.700000000000003</v>
      </c>
      <c r="L600" s="66">
        <f t="shared" si="122"/>
        <v>0</v>
      </c>
      <c r="M600" s="67">
        <f t="shared" si="114"/>
        <v>35.700000000000003</v>
      </c>
      <c r="N600" s="66">
        <f t="shared" si="122"/>
        <v>0</v>
      </c>
      <c r="O600" s="67">
        <f t="shared" si="121"/>
        <v>35.700000000000003</v>
      </c>
    </row>
    <row r="601" spans="1:15" ht="49.5" x14ac:dyDescent="0.2">
      <c r="A601" s="64" t="str">
        <f ca="1">IF(ISERROR(MATCH(F601,Код_КВР,0)),"",INDIRECT(ADDRESS(MATCH(F601,Код_КВР,0)+1,2,,,"КВР")))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601" s="26">
        <v>803</v>
      </c>
      <c r="C601" s="65" t="s">
        <v>74</v>
      </c>
      <c r="D601" s="65" t="s">
        <v>78</v>
      </c>
      <c r="E601" s="26" t="s">
        <v>288</v>
      </c>
      <c r="F601" s="26">
        <v>810</v>
      </c>
      <c r="G601" s="67">
        <v>35.700000000000003</v>
      </c>
      <c r="H601" s="67"/>
      <c r="I601" s="67">
        <f t="shared" si="117"/>
        <v>35.700000000000003</v>
      </c>
      <c r="J601" s="67"/>
      <c r="K601" s="67">
        <f t="shared" si="113"/>
        <v>35.700000000000003</v>
      </c>
      <c r="L601" s="67"/>
      <c r="M601" s="67">
        <f t="shared" si="114"/>
        <v>35.700000000000003</v>
      </c>
      <c r="N601" s="67"/>
      <c r="O601" s="67">
        <f t="shared" si="121"/>
        <v>35.700000000000003</v>
      </c>
    </row>
    <row r="602" spans="1:15" x14ac:dyDescent="0.2">
      <c r="A602" s="64" t="str">
        <f ca="1">IF(ISERROR(MATCH(C602,Код_Раздел,0)),"",INDIRECT(ADDRESS(MATCH(C602,Код_Раздел,0)+1,2,,,"Раздел")))</f>
        <v>Здравоохранение</v>
      </c>
      <c r="B602" s="26">
        <v>803</v>
      </c>
      <c r="C602" s="65" t="s">
        <v>76</v>
      </c>
      <c r="D602" s="65"/>
      <c r="E602" s="26"/>
      <c r="F602" s="26"/>
      <c r="G602" s="66">
        <f t="shared" ref="G602:N607" si="123">G603</f>
        <v>1155.8</v>
      </c>
      <c r="H602" s="66">
        <f t="shared" si="123"/>
        <v>0</v>
      </c>
      <c r="I602" s="67">
        <f t="shared" si="117"/>
        <v>1155.8</v>
      </c>
      <c r="J602" s="66">
        <f t="shared" si="123"/>
        <v>0</v>
      </c>
      <c r="K602" s="67">
        <f t="shared" si="113"/>
        <v>1155.8</v>
      </c>
      <c r="L602" s="66">
        <f t="shared" si="123"/>
        <v>0</v>
      </c>
      <c r="M602" s="67">
        <f t="shared" si="114"/>
        <v>1155.8</v>
      </c>
      <c r="N602" s="66">
        <f t="shared" si="123"/>
        <v>0</v>
      </c>
      <c r="O602" s="67">
        <f t="shared" si="121"/>
        <v>1155.8</v>
      </c>
    </row>
    <row r="603" spans="1:15" x14ac:dyDescent="0.2">
      <c r="A603" s="75" t="s">
        <v>113</v>
      </c>
      <c r="B603" s="26">
        <v>803</v>
      </c>
      <c r="C603" s="65" t="s">
        <v>76</v>
      </c>
      <c r="D603" s="65" t="s">
        <v>60</v>
      </c>
      <c r="E603" s="26"/>
      <c r="F603" s="26"/>
      <c r="G603" s="66">
        <f t="shared" si="123"/>
        <v>1155.8</v>
      </c>
      <c r="H603" s="66">
        <f t="shared" si="123"/>
        <v>0</v>
      </c>
      <c r="I603" s="67">
        <f t="shared" si="117"/>
        <v>1155.8</v>
      </c>
      <c r="J603" s="66">
        <f t="shared" si="123"/>
        <v>0</v>
      </c>
      <c r="K603" s="67">
        <f t="shared" si="113"/>
        <v>1155.8</v>
      </c>
      <c r="L603" s="66">
        <f t="shared" si="123"/>
        <v>0</v>
      </c>
      <c r="M603" s="67">
        <f t="shared" si="114"/>
        <v>1155.8</v>
      </c>
      <c r="N603" s="66">
        <f t="shared" si="123"/>
        <v>0</v>
      </c>
      <c r="O603" s="67">
        <f t="shared" si="121"/>
        <v>1155.8</v>
      </c>
    </row>
    <row r="604" spans="1:15" ht="33" x14ac:dyDescent="0.2">
      <c r="A604" s="64" t="str">
        <f ca="1">IF(ISERROR(MATCH(E604,Код_КЦСР,0)),"",INDIRECT(ADDRESS(MATCH(E604,Код_КЦСР,0)+1,2,,,"КЦСР")))</f>
        <v>Муниципальная программа «Развитие жилищно-коммунального хозяйства города Череповца» на 2014 – 2020 годы</v>
      </c>
      <c r="B604" s="26">
        <v>803</v>
      </c>
      <c r="C604" s="65" t="s">
        <v>76</v>
      </c>
      <c r="D604" s="65" t="s">
        <v>60</v>
      </c>
      <c r="E604" s="26" t="s">
        <v>341</v>
      </c>
      <c r="F604" s="26"/>
      <c r="G604" s="66">
        <f>G605</f>
        <v>1155.8</v>
      </c>
      <c r="H604" s="66">
        <f>H605</f>
        <v>0</v>
      </c>
      <c r="I604" s="67">
        <f t="shared" si="117"/>
        <v>1155.8</v>
      </c>
      <c r="J604" s="66">
        <f>J605</f>
        <v>0</v>
      </c>
      <c r="K604" s="67">
        <f t="shared" si="113"/>
        <v>1155.8</v>
      </c>
      <c r="L604" s="66">
        <f>L605</f>
        <v>0</v>
      </c>
      <c r="M604" s="67">
        <f t="shared" si="114"/>
        <v>1155.8</v>
      </c>
      <c r="N604" s="66">
        <f>N605</f>
        <v>0</v>
      </c>
      <c r="O604" s="67">
        <f t="shared" si="121"/>
        <v>1155.8</v>
      </c>
    </row>
    <row r="605" spans="1:15" x14ac:dyDescent="0.2">
      <c r="A605" s="64" t="str">
        <f ca="1">IF(ISERROR(MATCH(E605,Код_КЦСР,0)),"",INDIRECT(ADDRESS(MATCH(E605,Код_КЦСР,0)+1,2,,,"КЦСР")))</f>
        <v>Развитие благоустройства города</v>
      </c>
      <c r="B605" s="26">
        <v>803</v>
      </c>
      <c r="C605" s="65" t="s">
        <v>76</v>
      </c>
      <c r="D605" s="65" t="s">
        <v>60</v>
      </c>
      <c r="E605" s="26" t="s">
        <v>342</v>
      </c>
      <c r="F605" s="26"/>
      <c r="G605" s="66">
        <f>G606</f>
        <v>1155.8</v>
      </c>
      <c r="H605" s="66">
        <f>H606</f>
        <v>0</v>
      </c>
      <c r="I605" s="67">
        <f t="shared" si="117"/>
        <v>1155.8</v>
      </c>
      <c r="J605" s="66">
        <f>J606</f>
        <v>0</v>
      </c>
      <c r="K605" s="67">
        <f t="shared" si="113"/>
        <v>1155.8</v>
      </c>
      <c r="L605" s="66">
        <f>L606</f>
        <v>0</v>
      </c>
      <c r="M605" s="67">
        <f t="shared" si="114"/>
        <v>1155.8</v>
      </c>
      <c r="N605" s="66">
        <f>N606</f>
        <v>0</v>
      </c>
      <c r="O605" s="67">
        <f t="shared" si="121"/>
        <v>1155.8</v>
      </c>
    </row>
    <row r="606" spans="1:15" ht="74.25" customHeight="1" x14ac:dyDescent="0.2">
      <c r="A606" s="64" t="str">
        <f ca="1">IF(ISERROR(MATCH(E606,Код_КЦСР,0)),"",INDIRECT(ADDRESS(MATCH(E606,Код_КЦСР,0)+1,2,,,"КЦСР")))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v>
      </c>
      <c r="B606" s="26">
        <v>803</v>
      </c>
      <c r="C606" s="65" t="s">
        <v>76</v>
      </c>
      <c r="D606" s="65" t="s">
        <v>60</v>
      </c>
      <c r="E606" s="26" t="s">
        <v>348</v>
      </c>
      <c r="F606" s="26"/>
      <c r="G606" s="66">
        <f t="shared" si="123"/>
        <v>1155.8</v>
      </c>
      <c r="H606" s="66">
        <f t="shared" si="123"/>
        <v>0</v>
      </c>
      <c r="I606" s="67">
        <f t="shared" si="117"/>
        <v>1155.8</v>
      </c>
      <c r="J606" s="66">
        <f t="shared" si="123"/>
        <v>0</v>
      </c>
      <c r="K606" s="67">
        <f t="shared" si="113"/>
        <v>1155.8</v>
      </c>
      <c r="L606" s="66">
        <f t="shared" si="123"/>
        <v>0</v>
      </c>
      <c r="M606" s="67">
        <f t="shared" si="114"/>
        <v>1155.8</v>
      </c>
      <c r="N606" s="66">
        <f t="shared" si="123"/>
        <v>0</v>
      </c>
      <c r="O606" s="67">
        <f t="shared" si="121"/>
        <v>1155.8</v>
      </c>
    </row>
    <row r="607" spans="1:15" ht="92.25" customHeight="1" x14ac:dyDescent="0.2">
      <c r="A607" s="64" t="str">
        <f ca="1">IF(ISERROR(MATCH(E607,Код_КЦСР,0)),"",INDIRECT(ADDRESS(MATCH(E607,Код_КЦСР,0)+1,2,,,"КЦСР")))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животных», за счет средств областного бюджета</v>
      </c>
      <c r="B607" s="26">
        <v>803</v>
      </c>
      <c r="C607" s="65" t="s">
        <v>76</v>
      </c>
      <c r="D607" s="65" t="s">
        <v>60</v>
      </c>
      <c r="E607" s="26" t="s">
        <v>349</v>
      </c>
      <c r="F607" s="26"/>
      <c r="G607" s="66">
        <f t="shared" si="123"/>
        <v>1155.8</v>
      </c>
      <c r="H607" s="66">
        <f t="shared" si="123"/>
        <v>0</v>
      </c>
      <c r="I607" s="67">
        <f t="shared" si="117"/>
        <v>1155.8</v>
      </c>
      <c r="J607" s="66">
        <f t="shared" si="123"/>
        <v>0</v>
      </c>
      <c r="K607" s="67">
        <f t="shared" si="113"/>
        <v>1155.8</v>
      </c>
      <c r="L607" s="66">
        <f t="shared" si="123"/>
        <v>0</v>
      </c>
      <c r="M607" s="67">
        <f t="shared" si="114"/>
        <v>1155.8</v>
      </c>
      <c r="N607" s="66">
        <f t="shared" si="123"/>
        <v>0</v>
      </c>
      <c r="O607" s="67">
        <f t="shared" si="121"/>
        <v>1155.8</v>
      </c>
    </row>
    <row r="608" spans="1:15" ht="39" customHeight="1" x14ac:dyDescent="0.2">
      <c r="A608" s="64" t="str">
        <f ca="1">IF(ISERROR(MATCH(F608,Код_КВР,0)),"",INDIRECT(ADDRESS(MATCH(F608,Код_КВР,0)+1,2,,,"КВР")))</f>
        <v>Закупка товаров, работ и услуг для обеспечения государственных (муниципальных) нужд</v>
      </c>
      <c r="B608" s="26">
        <v>803</v>
      </c>
      <c r="C608" s="65" t="s">
        <v>76</v>
      </c>
      <c r="D608" s="65" t="s">
        <v>60</v>
      </c>
      <c r="E608" s="26" t="s">
        <v>349</v>
      </c>
      <c r="F608" s="26">
        <v>200</v>
      </c>
      <c r="G608" s="66">
        <f t="shared" ref="G608:N608" si="124">G609</f>
        <v>1155.8</v>
      </c>
      <c r="H608" s="66">
        <f t="shared" si="124"/>
        <v>0</v>
      </c>
      <c r="I608" s="67">
        <f t="shared" si="117"/>
        <v>1155.8</v>
      </c>
      <c r="J608" s="66">
        <f t="shared" si="124"/>
        <v>0</v>
      </c>
      <c r="K608" s="67">
        <f t="shared" si="113"/>
        <v>1155.8</v>
      </c>
      <c r="L608" s="66">
        <f t="shared" si="124"/>
        <v>0</v>
      </c>
      <c r="M608" s="67">
        <f t="shared" si="114"/>
        <v>1155.8</v>
      </c>
      <c r="N608" s="66">
        <f t="shared" si="124"/>
        <v>0</v>
      </c>
      <c r="O608" s="67">
        <f t="shared" si="121"/>
        <v>1155.8</v>
      </c>
    </row>
    <row r="609" spans="1:15" ht="33" x14ac:dyDescent="0.2">
      <c r="A609" s="64" t="str">
        <f ca="1">IF(ISERROR(MATCH(F609,Код_КВР,0)),"",INDIRECT(ADDRESS(MATCH(F609,Код_КВР,0)+1,2,,,"КВР")))</f>
        <v>Иные закупки товаров, работ и услуг для обеспечения государственных (муниципальных) нужд</v>
      </c>
      <c r="B609" s="26">
        <v>803</v>
      </c>
      <c r="C609" s="65" t="s">
        <v>76</v>
      </c>
      <c r="D609" s="65" t="s">
        <v>60</v>
      </c>
      <c r="E609" s="26" t="s">
        <v>349</v>
      </c>
      <c r="F609" s="26">
        <v>240</v>
      </c>
      <c r="G609" s="66">
        <v>1155.8</v>
      </c>
      <c r="H609" s="66"/>
      <c r="I609" s="67">
        <f t="shared" si="117"/>
        <v>1155.8</v>
      </c>
      <c r="J609" s="66"/>
      <c r="K609" s="67">
        <f t="shared" si="113"/>
        <v>1155.8</v>
      </c>
      <c r="L609" s="66"/>
      <c r="M609" s="67">
        <f t="shared" si="114"/>
        <v>1155.8</v>
      </c>
      <c r="N609" s="66"/>
      <c r="O609" s="67">
        <f t="shared" si="121"/>
        <v>1155.8</v>
      </c>
    </row>
    <row r="610" spans="1:15" x14ac:dyDescent="0.2">
      <c r="A610" s="64" t="str">
        <f ca="1">IF(ISERROR(MATCH(C610,Код_Раздел,0)),"",INDIRECT(ADDRESS(MATCH(C610,Код_Раздел,0)+1,2,,,"Раздел")))</f>
        <v>Социальная политика</v>
      </c>
      <c r="B610" s="26">
        <v>803</v>
      </c>
      <c r="C610" s="65" t="s">
        <v>53</v>
      </c>
      <c r="D610" s="65"/>
      <c r="E610" s="26"/>
      <c r="F610" s="26"/>
      <c r="G610" s="66">
        <f t="shared" ref="G610:N611" si="125">G611</f>
        <v>417.6</v>
      </c>
      <c r="H610" s="66">
        <f t="shared" si="125"/>
        <v>0</v>
      </c>
      <c r="I610" s="67">
        <f t="shared" si="117"/>
        <v>417.6</v>
      </c>
      <c r="J610" s="66">
        <f t="shared" si="125"/>
        <v>0</v>
      </c>
      <c r="K610" s="67">
        <f t="shared" si="113"/>
        <v>417.6</v>
      </c>
      <c r="L610" s="66">
        <f t="shared" si="125"/>
        <v>0</v>
      </c>
      <c r="M610" s="67">
        <f t="shared" si="114"/>
        <v>417.6</v>
      </c>
      <c r="N610" s="66">
        <f t="shared" si="125"/>
        <v>0</v>
      </c>
      <c r="O610" s="67">
        <f t="shared" si="121"/>
        <v>417.6</v>
      </c>
    </row>
    <row r="611" spans="1:15" x14ac:dyDescent="0.2">
      <c r="A611" s="74" t="s">
        <v>44</v>
      </c>
      <c r="B611" s="26">
        <v>803</v>
      </c>
      <c r="C611" s="65" t="s">
        <v>53</v>
      </c>
      <c r="D611" s="65" t="s">
        <v>72</v>
      </c>
      <c r="E611" s="26"/>
      <c r="F611" s="26"/>
      <c r="G611" s="66">
        <f t="shared" si="125"/>
        <v>417.6</v>
      </c>
      <c r="H611" s="66">
        <f t="shared" si="125"/>
        <v>0</v>
      </c>
      <c r="I611" s="67">
        <f t="shared" si="117"/>
        <v>417.6</v>
      </c>
      <c r="J611" s="66">
        <f t="shared" si="125"/>
        <v>0</v>
      </c>
      <c r="K611" s="67">
        <f t="shared" si="113"/>
        <v>417.6</v>
      </c>
      <c r="L611" s="66">
        <f t="shared" si="125"/>
        <v>0</v>
      </c>
      <c r="M611" s="67">
        <f t="shared" si="114"/>
        <v>417.6</v>
      </c>
      <c r="N611" s="66">
        <f t="shared" si="125"/>
        <v>0</v>
      </c>
      <c r="O611" s="67">
        <f t="shared" si="121"/>
        <v>417.6</v>
      </c>
    </row>
    <row r="612" spans="1:15" ht="33" x14ac:dyDescent="0.2">
      <c r="A612" s="64" t="str">
        <f ca="1">IF(ISERROR(MATCH(E612,Код_КЦСР,0)),"",INDIRECT(ADDRESS(MATCH(E612,Код_КЦСР,0)+1,2,,,"КЦСР")))</f>
        <v>Муниципальная программа «Социальная поддержка граждан» на 2014 – 2022 годы</v>
      </c>
      <c r="B612" s="26">
        <v>803</v>
      </c>
      <c r="C612" s="65" t="s">
        <v>53</v>
      </c>
      <c r="D612" s="65" t="s">
        <v>72</v>
      </c>
      <c r="E612" s="26" t="s">
        <v>311</v>
      </c>
      <c r="F612" s="26"/>
      <c r="G612" s="66">
        <f>G613+G616</f>
        <v>417.6</v>
      </c>
      <c r="H612" s="66">
        <f>H613+H616</f>
        <v>0</v>
      </c>
      <c r="I612" s="67">
        <f t="shared" si="117"/>
        <v>417.6</v>
      </c>
      <c r="J612" s="66">
        <f>J613+J616</f>
        <v>0</v>
      </c>
      <c r="K612" s="67">
        <f t="shared" si="113"/>
        <v>417.6</v>
      </c>
      <c r="L612" s="66">
        <f>L613+L616</f>
        <v>0</v>
      </c>
      <c r="M612" s="67">
        <f t="shared" si="114"/>
        <v>417.6</v>
      </c>
      <c r="N612" s="66">
        <f>N613+N616</f>
        <v>0</v>
      </c>
      <c r="O612" s="67">
        <f t="shared" si="121"/>
        <v>417.6</v>
      </c>
    </row>
    <row r="613" spans="1:15" ht="33" x14ac:dyDescent="0.2">
      <c r="A613" s="64" t="str">
        <f ca="1">IF(ISERROR(MATCH(E613,Код_КЦСР,0)),"",INDIRECT(ADDRESS(MATCH(E613,Код_КЦСР,0)+1,2,,,"КЦСР")))</f>
        <v>Социальная поддержка пенсионеров на условиях договора пожизненного содержания с иждивением</v>
      </c>
      <c r="B613" s="26">
        <v>803</v>
      </c>
      <c r="C613" s="65" t="s">
        <v>53</v>
      </c>
      <c r="D613" s="65" t="s">
        <v>72</v>
      </c>
      <c r="E613" s="26" t="s">
        <v>325</v>
      </c>
      <c r="F613" s="26"/>
      <c r="G613" s="66">
        <f t="shared" ref="G613:N614" si="126">G614</f>
        <v>346.6</v>
      </c>
      <c r="H613" s="66">
        <f t="shared" si="126"/>
        <v>0</v>
      </c>
      <c r="I613" s="67">
        <f t="shared" si="117"/>
        <v>346.6</v>
      </c>
      <c r="J613" s="66">
        <f t="shared" si="126"/>
        <v>0</v>
      </c>
      <c r="K613" s="67">
        <f t="shared" si="113"/>
        <v>346.6</v>
      </c>
      <c r="L613" s="66">
        <f t="shared" si="126"/>
        <v>0</v>
      </c>
      <c r="M613" s="67">
        <f t="shared" si="114"/>
        <v>346.6</v>
      </c>
      <c r="N613" s="66">
        <f t="shared" si="126"/>
        <v>0</v>
      </c>
      <c r="O613" s="67">
        <f t="shared" si="121"/>
        <v>346.6</v>
      </c>
    </row>
    <row r="614" spans="1:15" ht="33" x14ac:dyDescent="0.2">
      <c r="A614" s="64" t="str">
        <f ca="1">IF(ISERROR(MATCH(F614,Код_КВР,0)),"",INDIRECT(ADDRESS(MATCH(F614,Код_КВР,0)+1,2,,,"КВР")))</f>
        <v>Закупка товаров, работ и услуг для обеспечения государственных (муниципальных) нужд</v>
      </c>
      <c r="B614" s="26">
        <v>803</v>
      </c>
      <c r="C614" s="65" t="s">
        <v>53</v>
      </c>
      <c r="D614" s="65" t="s">
        <v>72</v>
      </c>
      <c r="E614" s="26" t="s">
        <v>325</v>
      </c>
      <c r="F614" s="26">
        <v>200</v>
      </c>
      <c r="G614" s="66">
        <f t="shared" si="126"/>
        <v>346.6</v>
      </c>
      <c r="H614" s="66">
        <f t="shared" si="126"/>
        <v>0</v>
      </c>
      <c r="I614" s="67">
        <f t="shared" si="117"/>
        <v>346.6</v>
      </c>
      <c r="J614" s="66">
        <f t="shared" si="126"/>
        <v>0</v>
      </c>
      <c r="K614" s="67">
        <f t="shared" si="113"/>
        <v>346.6</v>
      </c>
      <c r="L614" s="66">
        <f t="shared" si="126"/>
        <v>0</v>
      </c>
      <c r="M614" s="67">
        <f t="shared" si="114"/>
        <v>346.6</v>
      </c>
      <c r="N614" s="66">
        <f t="shared" si="126"/>
        <v>0</v>
      </c>
      <c r="O614" s="67">
        <f t="shared" si="121"/>
        <v>346.6</v>
      </c>
    </row>
    <row r="615" spans="1:15" ht="33" x14ac:dyDescent="0.2">
      <c r="A615" s="64" t="str">
        <f ca="1">IF(ISERROR(MATCH(F615,Код_КВР,0)),"",INDIRECT(ADDRESS(MATCH(F615,Код_КВР,0)+1,2,,,"КВР")))</f>
        <v>Иные закупки товаров, работ и услуг для обеспечения государственных (муниципальных) нужд</v>
      </c>
      <c r="B615" s="26">
        <v>803</v>
      </c>
      <c r="C615" s="65" t="s">
        <v>53</v>
      </c>
      <c r="D615" s="65" t="s">
        <v>72</v>
      </c>
      <c r="E615" s="26" t="s">
        <v>325</v>
      </c>
      <c r="F615" s="26">
        <v>240</v>
      </c>
      <c r="G615" s="66">
        <v>346.6</v>
      </c>
      <c r="H615" s="66"/>
      <c r="I615" s="67">
        <f t="shared" si="117"/>
        <v>346.6</v>
      </c>
      <c r="J615" s="66"/>
      <c r="K615" s="67">
        <f t="shared" si="113"/>
        <v>346.6</v>
      </c>
      <c r="L615" s="66"/>
      <c r="M615" s="67">
        <f t="shared" si="114"/>
        <v>346.6</v>
      </c>
      <c r="N615" s="66"/>
      <c r="O615" s="67">
        <f t="shared" si="121"/>
        <v>346.6</v>
      </c>
    </row>
    <row r="616" spans="1:15" x14ac:dyDescent="0.2">
      <c r="A616" s="64" t="str">
        <f ca="1">IF(ISERROR(MATCH(E616,Код_КЦСР,0)),"",INDIRECT(ADDRESS(MATCH(E616,Код_КЦСР,0)+1,2,,,"КЦСР")))</f>
        <v>Оплата услуг бани по льготным помывкам</v>
      </c>
      <c r="B616" s="26">
        <v>803</v>
      </c>
      <c r="C616" s="65" t="s">
        <v>53</v>
      </c>
      <c r="D616" s="65" t="s">
        <v>72</v>
      </c>
      <c r="E616" s="26" t="s">
        <v>326</v>
      </c>
      <c r="F616" s="26"/>
      <c r="G616" s="66">
        <f t="shared" ref="G616:N617" si="127">G617</f>
        <v>71</v>
      </c>
      <c r="H616" s="66">
        <f t="shared" si="127"/>
        <v>0</v>
      </c>
      <c r="I616" s="67">
        <f t="shared" si="117"/>
        <v>71</v>
      </c>
      <c r="J616" s="66">
        <f t="shared" si="127"/>
        <v>0</v>
      </c>
      <c r="K616" s="67">
        <f t="shared" si="113"/>
        <v>71</v>
      </c>
      <c r="L616" s="66">
        <f t="shared" si="127"/>
        <v>0</v>
      </c>
      <c r="M616" s="67">
        <f t="shared" si="114"/>
        <v>71</v>
      </c>
      <c r="N616" s="66">
        <f t="shared" si="127"/>
        <v>0</v>
      </c>
      <c r="O616" s="67">
        <f t="shared" si="121"/>
        <v>71</v>
      </c>
    </row>
    <row r="617" spans="1:15" x14ac:dyDescent="0.2">
      <c r="A617" s="64" t="str">
        <f ca="1">IF(ISERROR(MATCH(F617,Код_КВР,0)),"",INDIRECT(ADDRESS(MATCH(F617,Код_КВР,0)+1,2,,,"КВР")))</f>
        <v>Социальное обеспечение и иные выплаты населению</v>
      </c>
      <c r="B617" s="26">
        <v>803</v>
      </c>
      <c r="C617" s="65" t="s">
        <v>53</v>
      </c>
      <c r="D617" s="65" t="s">
        <v>72</v>
      </c>
      <c r="E617" s="26" t="s">
        <v>326</v>
      </c>
      <c r="F617" s="26">
        <v>300</v>
      </c>
      <c r="G617" s="66">
        <f t="shared" si="127"/>
        <v>71</v>
      </c>
      <c r="H617" s="66">
        <f t="shared" si="127"/>
        <v>0</v>
      </c>
      <c r="I617" s="67">
        <f t="shared" si="117"/>
        <v>71</v>
      </c>
      <c r="J617" s="66">
        <f t="shared" si="127"/>
        <v>0</v>
      </c>
      <c r="K617" s="67">
        <f t="shared" si="113"/>
        <v>71</v>
      </c>
      <c r="L617" s="66">
        <f t="shared" si="127"/>
        <v>0</v>
      </c>
      <c r="M617" s="67">
        <f t="shared" si="114"/>
        <v>71</v>
      </c>
      <c r="N617" s="66">
        <f t="shared" si="127"/>
        <v>0</v>
      </c>
      <c r="O617" s="67">
        <f t="shared" si="121"/>
        <v>71</v>
      </c>
    </row>
    <row r="618" spans="1:15" ht="33" x14ac:dyDescent="0.2">
      <c r="A618" s="64" t="str">
        <f ca="1">IF(ISERROR(MATCH(F618,Код_КВР,0)),"",INDIRECT(ADDRESS(MATCH(F618,Код_КВР,0)+1,2,,,"КВР")))</f>
        <v>Социальные выплаты гражданам, кроме публичных нормативных социальных выплат</v>
      </c>
      <c r="B618" s="26">
        <v>803</v>
      </c>
      <c r="C618" s="65" t="s">
        <v>53</v>
      </c>
      <c r="D618" s="65" t="s">
        <v>72</v>
      </c>
      <c r="E618" s="26" t="s">
        <v>326</v>
      </c>
      <c r="F618" s="26">
        <v>320</v>
      </c>
      <c r="G618" s="66">
        <v>71</v>
      </c>
      <c r="H618" s="66"/>
      <c r="I618" s="67">
        <f t="shared" si="117"/>
        <v>71</v>
      </c>
      <c r="J618" s="66"/>
      <c r="K618" s="67">
        <f t="shared" si="113"/>
        <v>71</v>
      </c>
      <c r="L618" s="66"/>
      <c r="M618" s="67">
        <f t="shared" si="114"/>
        <v>71</v>
      </c>
      <c r="N618" s="66"/>
      <c r="O618" s="67">
        <f t="shared" si="121"/>
        <v>71</v>
      </c>
    </row>
    <row r="619" spans="1:15" ht="33" x14ac:dyDescent="0.2">
      <c r="A619" s="64" t="str">
        <f ca="1">IF(ISERROR(MATCH(B619,Код_ППП,0)),"",INDIRECT(ADDRESS(MATCH(B619,Код_ППП,0)+1,2,,,"ППП")))</f>
        <v>УПРАВЛЕНИЕ АРХИТЕКТУРЫ И ГРАДОСТРОИТЕЛЬСТВА МЭРИИ ГОРОДА</v>
      </c>
      <c r="B619" s="26">
        <v>804</v>
      </c>
      <c r="C619" s="65"/>
      <c r="D619" s="65"/>
      <c r="E619" s="26"/>
      <c r="F619" s="26"/>
      <c r="G619" s="66">
        <f>G620</f>
        <v>23924.7</v>
      </c>
      <c r="H619" s="66">
        <f>H620</f>
        <v>0</v>
      </c>
      <c r="I619" s="67">
        <f t="shared" si="117"/>
        <v>23924.7</v>
      </c>
      <c r="J619" s="66">
        <f>J620</f>
        <v>0</v>
      </c>
      <c r="K619" s="67">
        <f t="shared" si="113"/>
        <v>23924.7</v>
      </c>
      <c r="L619" s="66">
        <f>L620</f>
        <v>0</v>
      </c>
      <c r="M619" s="67">
        <f t="shared" si="114"/>
        <v>23924.7</v>
      </c>
      <c r="N619" s="66">
        <f>N620</f>
        <v>0</v>
      </c>
      <c r="O619" s="67">
        <f t="shared" si="121"/>
        <v>23924.7</v>
      </c>
    </row>
    <row r="620" spans="1:15" x14ac:dyDescent="0.2">
      <c r="A620" s="64" t="str">
        <f ca="1">IF(ISERROR(MATCH(C620,Код_Раздел,0)),"",INDIRECT(ADDRESS(MATCH(C620,Код_Раздел,0)+1,2,,,"Раздел")))</f>
        <v>Национальная экономика</v>
      </c>
      <c r="B620" s="26">
        <v>804</v>
      </c>
      <c r="C620" s="65" t="s">
        <v>73</v>
      </c>
      <c r="D620" s="65"/>
      <c r="E620" s="26"/>
      <c r="F620" s="26"/>
      <c r="G620" s="66">
        <f>G621</f>
        <v>23924.7</v>
      </c>
      <c r="H620" s="66">
        <f>H621</f>
        <v>0</v>
      </c>
      <c r="I620" s="67">
        <f t="shared" si="117"/>
        <v>23924.7</v>
      </c>
      <c r="J620" s="66">
        <f>J621</f>
        <v>0</v>
      </c>
      <c r="K620" s="67">
        <f t="shared" si="113"/>
        <v>23924.7</v>
      </c>
      <c r="L620" s="66">
        <f>L621</f>
        <v>0</v>
      </c>
      <c r="M620" s="67">
        <f t="shared" si="114"/>
        <v>23924.7</v>
      </c>
      <c r="N620" s="66">
        <f>N621</f>
        <v>0</v>
      </c>
      <c r="O620" s="67">
        <f t="shared" si="121"/>
        <v>23924.7</v>
      </c>
    </row>
    <row r="621" spans="1:15" x14ac:dyDescent="0.2">
      <c r="A621" s="74" t="s">
        <v>80</v>
      </c>
      <c r="B621" s="26">
        <v>804</v>
      </c>
      <c r="C621" s="65" t="s">
        <v>73</v>
      </c>
      <c r="D621" s="65" t="s">
        <v>61</v>
      </c>
      <c r="E621" s="26"/>
      <c r="F621" s="26"/>
      <c r="G621" s="66">
        <f t="shared" ref="G621:N626" si="128">G622</f>
        <v>23924.7</v>
      </c>
      <c r="H621" s="66">
        <f t="shared" si="128"/>
        <v>0</v>
      </c>
      <c r="I621" s="67">
        <f t="shared" si="117"/>
        <v>23924.7</v>
      </c>
      <c r="J621" s="66">
        <f t="shared" si="128"/>
        <v>0</v>
      </c>
      <c r="K621" s="67">
        <f t="shared" si="113"/>
        <v>23924.7</v>
      </c>
      <c r="L621" s="66">
        <f t="shared" si="128"/>
        <v>0</v>
      </c>
      <c r="M621" s="67">
        <f t="shared" si="114"/>
        <v>23924.7</v>
      </c>
      <c r="N621" s="66">
        <f t="shared" si="128"/>
        <v>0</v>
      </c>
      <c r="O621" s="67">
        <f t="shared" si="121"/>
        <v>23924.7</v>
      </c>
    </row>
    <row r="622" spans="1:15" ht="33" x14ac:dyDescent="0.2">
      <c r="A622" s="64" t="str">
        <f ca="1">IF(ISERROR(MATCH(E622,Код_КЦСР,0)),"",INDIRECT(ADDRESS(MATCH(E622,Код_КЦСР,0)+1,2,,,"КЦСР")))</f>
        <v>Муниципальная программа «Реализация градостроительной политики города Череповца» на 2014 – 2022 годы</v>
      </c>
      <c r="B622" s="26">
        <v>804</v>
      </c>
      <c r="C622" s="65" t="s">
        <v>73</v>
      </c>
      <c r="D622" s="65" t="s">
        <v>61</v>
      </c>
      <c r="E622" s="26" t="s">
        <v>337</v>
      </c>
      <c r="F622" s="26"/>
      <c r="G622" s="66">
        <f>G626+G623</f>
        <v>23924.7</v>
      </c>
      <c r="H622" s="66">
        <f>H626+H623</f>
        <v>0</v>
      </c>
      <c r="I622" s="67">
        <f t="shared" si="117"/>
        <v>23924.7</v>
      </c>
      <c r="J622" s="66">
        <f>J626+J623</f>
        <v>0</v>
      </c>
      <c r="K622" s="67">
        <f t="shared" si="113"/>
        <v>23924.7</v>
      </c>
      <c r="L622" s="66">
        <f>L626+L623</f>
        <v>0</v>
      </c>
      <c r="M622" s="67">
        <f t="shared" si="114"/>
        <v>23924.7</v>
      </c>
      <c r="N622" s="66">
        <f>N626+N623</f>
        <v>0</v>
      </c>
      <c r="O622" s="67">
        <f t="shared" si="121"/>
        <v>23924.7</v>
      </c>
    </row>
    <row r="623" spans="1:15" ht="33" hidden="1" x14ac:dyDescent="0.2">
      <c r="A623" s="64" t="str">
        <f ca="1">IF(ISERROR(MATCH(E623,Код_КЦСР,0)),"",INDIRECT(ADDRESS(MATCH(E623,Код_КЦСР,0)+1,2,,,"КЦСР")))</f>
        <v>Обеспечение подготовки градостроительной документации и нормативно-правовых актов</v>
      </c>
      <c r="B623" s="26">
        <v>804</v>
      </c>
      <c r="C623" s="65" t="s">
        <v>73</v>
      </c>
      <c r="D623" s="65" t="s">
        <v>61</v>
      </c>
      <c r="E623" s="26" t="s">
        <v>450</v>
      </c>
      <c r="F623" s="26"/>
      <c r="G623" s="66">
        <f>G624</f>
        <v>0</v>
      </c>
      <c r="H623" s="66">
        <f>H624</f>
        <v>0</v>
      </c>
      <c r="I623" s="67">
        <f t="shared" si="117"/>
        <v>0</v>
      </c>
      <c r="J623" s="66">
        <f>J624</f>
        <v>0</v>
      </c>
      <c r="K623" s="67">
        <f t="shared" si="113"/>
        <v>0</v>
      </c>
      <c r="L623" s="66">
        <f>L624</f>
        <v>0</v>
      </c>
      <c r="M623" s="67">
        <f t="shared" si="114"/>
        <v>0</v>
      </c>
      <c r="N623" s="66">
        <f>N624</f>
        <v>0</v>
      </c>
      <c r="O623" s="67">
        <f t="shared" si="121"/>
        <v>0</v>
      </c>
    </row>
    <row r="624" spans="1:15" ht="33" hidden="1" x14ac:dyDescent="0.2">
      <c r="A624" s="64" t="str">
        <f ca="1">IF(ISERROR(MATCH(F624,Код_КВР,0)),"",INDIRECT(ADDRESS(MATCH(F624,Код_КВР,0)+1,2,,,"КВР")))</f>
        <v>Закупка товаров, работ и услуг для обеспечения государственных (муниципальных) нужд</v>
      </c>
      <c r="B624" s="26">
        <v>804</v>
      </c>
      <c r="C624" s="65" t="s">
        <v>73</v>
      </c>
      <c r="D624" s="65" t="s">
        <v>61</v>
      </c>
      <c r="E624" s="26" t="s">
        <v>450</v>
      </c>
      <c r="F624" s="26">
        <v>200</v>
      </c>
      <c r="G624" s="66">
        <f>G625</f>
        <v>0</v>
      </c>
      <c r="H624" s="66">
        <f>H625</f>
        <v>0</v>
      </c>
      <c r="I624" s="67">
        <f t="shared" si="117"/>
        <v>0</v>
      </c>
      <c r="J624" s="66">
        <f>J625</f>
        <v>0</v>
      </c>
      <c r="K624" s="67">
        <f t="shared" si="113"/>
        <v>0</v>
      </c>
      <c r="L624" s="66">
        <f>L625</f>
        <v>0</v>
      </c>
      <c r="M624" s="67">
        <f t="shared" si="114"/>
        <v>0</v>
      </c>
      <c r="N624" s="66">
        <f>N625</f>
        <v>0</v>
      </c>
      <c r="O624" s="67">
        <f t="shared" si="121"/>
        <v>0</v>
      </c>
    </row>
    <row r="625" spans="1:15" ht="33" hidden="1" x14ac:dyDescent="0.2">
      <c r="A625" s="64" t="str">
        <f ca="1">IF(ISERROR(MATCH(F625,Код_КВР,0)),"",INDIRECT(ADDRESS(MATCH(F625,Код_КВР,0)+1,2,,,"КВР")))</f>
        <v>Иные закупки товаров, работ и услуг для обеспечения государственных (муниципальных) нужд</v>
      </c>
      <c r="B625" s="26">
        <v>804</v>
      </c>
      <c r="C625" s="65" t="s">
        <v>73</v>
      </c>
      <c r="D625" s="65" t="s">
        <v>61</v>
      </c>
      <c r="E625" s="26" t="s">
        <v>450</v>
      </c>
      <c r="F625" s="26">
        <v>240</v>
      </c>
      <c r="G625" s="66"/>
      <c r="H625" s="66"/>
      <c r="I625" s="67">
        <f t="shared" si="117"/>
        <v>0</v>
      </c>
      <c r="J625" s="66"/>
      <c r="K625" s="67">
        <f t="shared" ref="K625:K691" si="129">I625+J625</f>
        <v>0</v>
      </c>
      <c r="L625" s="66"/>
      <c r="M625" s="67">
        <f t="shared" ref="M625:M691" si="130">K625+L625</f>
        <v>0</v>
      </c>
      <c r="N625" s="66"/>
      <c r="O625" s="67">
        <f t="shared" si="121"/>
        <v>0</v>
      </c>
    </row>
    <row r="626" spans="1:15" ht="33" x14ac:dyDescent="0.2">
      <c r="A626" s="64" t="str">
        <f ca="1">IF(ISERROR(MATCH(E626,Код_КЦСР,0)),"",INDIRECT(ADDRESS(MATCH(E626,Код_КЦСР,0)+1,2,,,"КЦСР")))</f>
        <v>Организация работ по реализации целей, задач управления, выполнение его функциональных обязанностей и реализации муниципальной программы</v>
      </c>
      <c r="B626" s="26">
        <v>804</v>
      </c>
      <c r="C626" s="65" t="s">
        <v>73</v>
      </c>
      <c r="D626" s="65" t="s">
        <v>61</v>
      </c>
      <c r="E626" s="26" t="s">
        <v>339</v>
      </c>
      <c r="F626" s="26"/>
      <c r="G626" s="66">
        <f t="shared" si="128"/>
        <v>23924.7</v>
      </c>
      <c r="H626" s="66">
        <f t="shared" si="128"/>
        <v>0</v>
      </c>
      <c r="I626" s="67">
        <f t="shared" si="117"/>
        <v>23924.7</v>
      </c>
      <c r="J626" s="66">
        <f t="shared" si="128"/>
        <v>0</v>
      </c>
      <c r="K626" s="67">
        <f t="shared" si="129"/>
        <v>23924.7</v>
      </c>
      <c r="L626" s="66">
        <f t="shared" si="128"/>
        <v>0</v>
      </c>
      <c r="M626" s="67">
        <f t="shared" si="130"/>
        <v>23924.7</v>
      </c>
      <c r="N626" s="66">
        <f t="shared" si="128"/>
        <v>0</v>
      </c>
      <c r="O626" s="67">
        <f t="shared" si="121"/>
        <v>23924.7</v>
      </c>
    </row>
    <row r="627" spans="1:15" x14ac:dyDescent="0.2">
      <c r="A627" s="64" t="str">
        <f ca="1">IF(ISERROR(MATCH(E627,Код_КЦСР,0)),"",INDIRECT(ADDRESS(MATCH(E627,Код_КЦСР,0)+1,2,,,"КЦСР")))</f>
        <v>Расходы на обеспечение функций органов местного самоуправления</v>
      </c>
      <c r="B627" s="26">
        <v>804</v>
      </c>
      <c r="C627" s="65" t="s">
        <v>73</v>
      </c>
      <c r="D627" s="65" t="s">
        <v>61</v>
      </c>
      <c r="E627" s="26" t="s">
        <v>340</v>
      </c>
      <c r="F627" s="26"/>
      <c r="G627" s="66">
        <f>G628+G630</f>
        <v>23924.7</v>
      </c>
      <c r="H627" s="66">
        <f>H628+H630</f>
        <v>0</v>
      </c>
      <c r="I627" s="67">
        <f t="shared" si="117"/>
        <v>23924.7</v>
      </c>
      <c r="J627" s="66">
        <f>J628+J630</f>
        <v>0</v>
      </c>
      <c r="K627" s="67">
        <f t="shared" si="129"/>
        <v>23924.7</v>
      </c>
      <c r="L627" s="66">
        <f>L628+L630</f>
        <v>0</v>
      </c>
      <c r="M627" s="67">
        <f t="shared" si="130"/>
        <v>23924.7</v>
      </c>
      <c r="N627" s="66">
        <f>N628+N630</f>
        <v>0</v>
      </c>
      <c r="O627" s="67">
        <f t="shared" si="121"/>
        <v>23924.7</v>
      </c>
    </row>
    <row r="628" spans="1:15" ht="49.5" x14ac:dyDescent="0.2">
      <c r="A628" s="64" t="str">
        <f ca="1">IF(ISERROR(MATCH(F628,Код_КВР,0)),"",INDIRECT(ADDRESS(MATCH(F628,Код_КВР,0)+1,2,,,"КВР")))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28" s="26">
        <v>804</v>
      </c>
      <c r="C628" s="65" t="s">
        <v>73</v>
      </c>
      <c r="D628" s="65" t="s">
        <v>61</v>
      </c>
      <c r="E628" s="26" t="s">
        <v>340</v>
      </c>
      <c r="F628" s="26">
        <v>100</v>
      </c>
      <c r="G628" s="66">
        <f>G629</f>
        <v>23909.7</v>
      </c>
      <c r="H628" s="66">
        <f>H629</f>
        <v>0</v>
      </c>
      <c r="I628" s="67">
        <f t="shared" si="117"/>
        <v>23909.7</v>
      </c>
      <c r="J628" s="66">
        <f>J629</f>
        <v>0</v>
      </c>
      <c r="K628" s="67">
        <f t="shared" si="129"/>
        <v>23909.7</v>
      </c>
      <c r="L628" s="66">
        <f>L629</f>
        <v>0</v>
      </c>
      <c r="M628" s="67">
        <f t="shared" si="130"/>
        <v>23909.7</v>
      </c>
      <c r="N628" s="66">
        <f>N629</f>
        <v>0</v>
      </c>
      <c r="O628" s="67">
        <f t="shared" si="121"/>
        <v>23909.7</v>
      </c>
    </row>
    <row r="629" spans="1:15" x14ac:dyDescent="0.2">
      <c r="A629" s="64" t="str">
        <f ca="1">IF(ISERROR(MATCH(F629,Код_КВР,0)),"",INDIRECT(ADDRESS(MATCH(F629,Код_КВР,0)+1,2,,,"КВР")))</f>
        <v>Расходы на выплаты персоналу государственных (муниципальных) органов</v>
      </c>
      <c r="B629" s="26">
        <v>804</v>
      </c>
      <c r="C629" s="65" t="s">
        <v>73</v>
      </c>
      <c r="D629" s="65" t="s">
        <v>61</v>
      </c>
      <c r="E629" s="26" t="s">
        <v>340</v>
      </c>
      <c r="F629" s="26">
        <v>120</v>
      </c>
      <c r="G629" s="66">
        <f>18306.2+75+5528.5</f>
        <v>23909.7</v>
      </c>
      <c r="H629" s="66"/>
      <c r="I629" s="67">
        <f t="shared" si="117"/>
        <v>23909.7</v>
      </c>
      <c r="J629" s="66"/>
      <c r="K629" s="67">
        <f t="shared" si="129"/>
        <v>23909.7</v>
      </c>
      <c r="L629" s="66"/>
      <c r="M629" s="67">
        <f t="shared" si="130"/>
        <v>23909.7</v>
      </c>
      <c r="N629" s="66"/>
      <c r="O629" s="67">
        <f t="shared" si="121"/>
        <v>23909.7</v>
      </c>
    </row>
    <row r="630" spans="1:15" ht="33" x14ac:dyDescent="0.2">
      <c r="A630" s="64" t="str">
        <f ca="1">IF(ISERROR(MATCH(F630,Код_КВР,0)),"",INDIRECT(ADDRESS(MATCH(F630,Код_КВР,0)+1,2,,,"КВР")))</f>
        <v>Закупка товаров, работ и услуг для обеспечения государственных (муниципальных) нужд</v>
      </c>
      <c r="B630" s="26">
        <v>804</v>
      </c>
      <c r="C630" s="65" t="s">
        <v>73</v>
      </c>
      <c r="D630" s="65" t="s">
        <v>61</v>
      </c>
      <c r="E630" s="26" t="s">
        <v>340</v>
      </c>
      <c r="F630" s="26">
        <v>200</v>
      </c>
      <c r="G630" s="66">
        <f>G631</f>
        <v>15</v>
      </c>
      <c r="H630" s="66">
        <f>H631</f>
        <v>0</v>
      </c>
      <c r="I630" s="67">
        <f t="shared" si="117"/>
        <v>15</v>
      </c>
      <c r="J630" s="66">
        <f>J631</f>
        <v>0</v>
      </c>
      <c r="K630" s="67">
        <f t="shared" si="129"/>
        <v>15</v>
      </c>
      <c r="L630" s="66">
        <f>L631</f>
        <v>0</v>
      </c>
      <c r="M630" s="67">
        <f t="shared" si="130"/>
        <v>15</v>
      </c>
      <c r="N630" s="66">
        <f>N631</f>
        <v>0</v>
      </c>
      <c r="O630" s="67">
        <f t="shared" si="121"/>
        <v>15</v>
      </c>
    </row>
    <row r="631" spans="1:15" ht="33" x14ac:dyDescent="0.2">
      <c r="A631" s="64" t="str">
        <f ca="1">IF(ISERROR(MATCH(F631,Код_КВР,0)),"",INDIRECT(ADDRESS(MATCH(F631,Код_КВР,0)+1,2,,,"КВР")))</f>
        <v>Иные закупки товаров, работ и услуг для обеспечения государственных (муниципальных) нужд</v>
      </c>
      <c r="B631" s="26">
        <v>804</v>
      </c>
      <c r="C631" s="65" t="s">
        <v>73</v>
      </c>
      <c r="D631" s="65" t="s">
        <v>61</v>
      </c>
      <c r="E631" s="26" t="s">
        <v>340</v>
      </c>
      <c r="F631" s="26">
        <v>240</v>
      </c>
      <c r="G631" s="66">
        <v>15</v>
      </c>
      <c r="H631" s="66"/>
      <c r="I631" s="67">
        <f t="shared" si="117"/>
        <v>15</v>
      </c>
      <c r="J631" s="66"/>
      <c r="K631" s="67">
        <f t="shared" si="129"/>
        <v>15</v>
      </c>
      <c r="L631" s="66"/>
      <c r="M631" s="67">
        <f t="shared" si="130"/>
        <v>15</v>
      </c>
      <c r="N631" s="66"/>
      <c r="O631" s="67">
        <f t="shared" si="121"/>
        <v>15</v>
      </c>
    </row>
    <row r="632" spans="1:15" x14ac:dyDescent="0.2">
      <c r="A632" s="64" t="str">
        <f ca="1">IF(ISERROR(MATCH(B632,Код_ППП,0)),"",INDIRECT(ADDRESS(MATCH(B632,Код_ППП,0)+1,2,,,"ППП")))</f>
        <v>УПРАВЛЕНИЕ ОБРАЗОВАНИЯ МЭРИИ ГОРОДА</v>
      </c>
      <c r="B632" s="26">
        <v>805</v>
      </c>
      <c r="C632" s="65"/>
      <c r="D632" s="65"/>
      <c r="E632" s="26"/>
      <c r="F632" s="26"/>
      <c r="G632" s="66">
        <f>G633+G864</f>
        <v>3526579.4999999995</v>
      </c>
      <c r="H632" s="66">
        <f>H633+H864</f>
        <v>0</v>
      </c>
      <c r="I632" s="67">
        <f t="shared" si="117"/>
        <v>3526579.4999999995</v>
      </c>
      <c r="J632" s="66">
        <f>J633+J864</f>
        <v>165.4</v>
      </c>
      <c r="K632" s="67">
        <f t="shared" si="129"/>
        <v>3526744.8999999994</v>
      </c>
      <c r="L632" s="66">
        <f>L633+L864</f>
        <v>643.50000000000023</v>
      </c>
      <c r="M632" s="67">
        <f t="shared" si="130"/>
        <v>3527388.3999999994</v>
      </c>
      <c r="N632" s="66">
        <f>N633+N864</f>
        <v>140000</v>
      </c>
      <c r="O632" s="67">
        <f t="shared" si="121"/>
        <v>3667388.3999999994</v>
      </c>
    </row>
    <row r="633" spans="1:15" x14ac:dyDescent="0.2">
      <c r="A633" s="64" t="str">
        <f ca="1">IF(ISERROR(MATCH(C633,Код_Раздел,0)),"",INDIRECT(ADDRESS(MATCH(C633,Код_Раздел,0)+1,2,,,"Раздел")))</f>
        <v>Образование</v>
      </c>
      <c r="B633" s="26">
        <v>805</v>
      </c>
      <c r="C633" s="65" t="s">
        <v>60</v>
      </c>
      <c r="D633" s="65"/>
      <c r="E633" s="26"/>
      <c r="F633" s="26"/>
      <c r="G633" s="66">
        <f>G634+G708+G842+G797+G821</f>
        <v>3377402.4999999995</v>
      </c>
      <c r="H633" s="66">
        <f>H634+H708+H842+H797+H821</f>
        <v>0</v>
      </c>
      <c r="I633" s="67">
        <f t="shared" si="117"/>
        <v>3377402.4999999995</v>
      </c>
      <c r="J633" s="66">
        <f>J634+J708+J842+J797+J821</f>
        <v>165.4</v>
      </c>
      <c r="K633" s="67">
        <f t="shared" si="129"/>
        <v>3377567.8999999994</v>
      </c>
      <c r="L633" s="66">
        <f>L634+L708+L842+L797+L821</f>
        <v>643.50000000000023</v>
      </c>
      <c r="M633" s="67">
        <f t="shared" si="130"/>
        <v>3378211.3999999994</v>
      </c>
      <c r="N633" s="66">
        <f>N634+N708+N842+N797+N821</f>
        <v>140318.39999999999</v>
      </c>
      <c r="O633" s="67">
        <f t="shared" si="121"/>
        <v>3518529.7999999993</v>
      </c>
    </row>
    <row r="634" spans="1:15" x14ac:dyDescent="0.2">
      <c r="A634" s="74" t="s">
        <v>109</v>
      </c>
      <c r="B634" s="26">
        <v>805</v>
      </c>
      <c r="C634" s="65" t="s">
        <v>60</v>
      </c>
      <c r="D634" s="65" t="s">
        <v>70</v>
      </c>
      <c r="E634" s="26"/>
      <c r="F634" s="26"/>
      <c r="G634" s="66">
        <f>G635+G689+G693</f>
        <v>1691176.9</v>
      </c>
      <c r="H634" s="66">
        <f>H635+H689+H693</f>
        <v>0</v>
      </c>
      <c r="I634" s="67">
        <f t="shared" si="117"/>
        <v>1691176.9</v>
      </c>
      <c r="J634" s="66">
        <f>J635+J689+J693</f>
        <v>0</v>
      </c>
      <c r="K634" s="67">
        <f t="shared" si="129"/>
        <v>1691176.9</v>
      </c>
      <c r="L634" s="66">
        <f>L635+L689+L693</f>
        <v>-808.80000000000007</v>
      </c>
      <c r="M634" s="67">
        <f t="shared" si="130"/>
        <v>1690368.0999999999</v>
      </c>
      <c r="N634" s="66">
        <f>N635+N689+N693</f>
        <v>-576.5</v>
      </c>
      <c r="O634" s="67">
        <f t="shared" si="121"/>
        <v>1689791.5999999999</v>
      </c>
    </row>
    <row r="635" spans="1:15" x14ac:dyDescent="0.2">
      <c r="A635" s="64" t="str">
        <f ca="1">IF(ISERROR(MATCH(E635,Код_КЦСР,0)),"",INDIRECT(ADDRESS(MATCH(E635,Код_КЦСР,0)+1,2,,,"КЦСР")))</f>
        <v>Муниципальная программа «Развитие образования» на 2013 – 2022 годы</v>
      </c>
      <c r="B635" s="26">
        <v>805</v>
      </c>
      <c r="C635" s="65" t="s">
        <v>60</v>
      </c>
      <c r="D635" s="65" t="s">
        <v>70</v>
      </c>
      <c r="E635" s="26" t="s">
        <v>199</v>
      </c>
      <c r="F635" s="26"/>
      <c r="G635" s="66">
        <f>G636+G662+G668+G674</f>
        <v>1690164</v>
      </c>
      <c r="H635" s="66">
        <f>H636+H662+H668+H674</f>
        <v>0</v>
      </c>
      <c r="I635" s="67">
        <f t="shared" si="117"/>
        <v>1690164</v>
      </c>
      <c r="J635" s="66">
        <f>J636+J662+J668+J674</f>
        <v>0</v>
      </c>
      <c r="K635" s="67">
        <f t="shared" si="129"/>
        <v>1690164</v>
      </c>
      <c r="L635" s="66">
        <f>L636+L662+L668+L674</f>
        <v>-808.80000000000007</v>
      </c>
      <c r="M635" s="67">
        <f t="shared" si="130"/>
        <v>1689355.2</v>
      </c>
      <c r="N635" s="66">
        <f>N636+N662+N668+N674</f>
        <v>-576.5</v>
      </c>
      <c r="O635" s="67">
        <f t="shared" si="121"/>
        <v>1688778.7</v>
      </c>
    </row>
    <row r="636" spans="1:15" x14ac:dyDescent="0.2">
      <c r="A636" s="64" t="str">
        <f ca="1">IF(ISERROR(MATCH(E636,Код_КЦСР,0)),"",INDIRECT(ADDRESS(MATCH(E636,Код_КЦСР,0)+1,2,,,"КЦСР")))</f>
        <v>Дошкольное образование</v>
      </c>
      <c r="B636" s="26">
        <v>805</v>
      </c>
      <c r="C636" s="65" t="s">
        <v>60</v>
      </c>
      <c r="D636" s="65" t="s">
        <v>70</v>
      </c>
      <c r="E636" s="26" t="s">
        <v>198</v>
      </c>
      <c r="F636" s="26"/>
      <c r="G636" s="66">
        <f>G637+G642+G646</f>
        <v>1660987</v>
      </c>
      <c r="H636" s="66">
        <f>H637+H642+H646</f>
        <v>0</v>
      </c>
      <c r="I636" s="67">
        <f t="shared" si="117"/>
        <v>1660987</v>
      </c>
      <c r="J636" s="66">
        <f>J637+J642+J646</f>
        <v>800</v>
      </c>
      <c r="K636" s="67">
        <f t="shared" si="129"/>
        <v>1661787</v>
      </c>
      <c r="L636" s="66">
        <f>L637+L642+L646</f>
        <v>-966.30000000000007</v>
      </c>
      <c r="M636" s="67">
        <f t="shared" si="130"/>
        <v>1660820.7</v>
      </c>
      <c r="N636" s="66">
        <f>N637+N642+N646</f>
        <v>-576.5</v>
      </c>
      <c r="O636" s="67">
        <f t="shared" si="121"/>
        <v>1660244.2</v>
      </c>
    </row>
    <row r="637" spans="1:15" ht="33" x14ac:dyDescent="0.2">
      <c r="A637" s="73" t="str">
        <f ca="1">IF(ISERROR(MATCH(E637,Код_КЦСР,0)),"",INDIRECT(ADDRESS(MATCH(E637,Код_КЦСР,0)+1,2,,,"КЦСР")))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</v>
      </c>
      <c r="B637" s="26">
        <v>805</v>
      </c>
      <c r="C637" s="65" t="s">
        <v>60</v>
      </c>
      <c r="D637" s="65" t="s">
        <v>70</v>
      </c>
      <c r="E637" s="26" t="s">
        <v>200</v>
      </c>
      <c r="F637" s="26"/>
      <c r="G637" s="66">
        <f t="shared" ref="G637:N638" si="131">G638</f>
        <v>1144834.8</v>
      </c>
      <c r="H637" s="66">
        <f t="shared" si="131"/>
        <v>0</v>
      </c>
      <c r="I637" s="67">
        <f t="shared" ref="I637:I715" si="132">G637+H637</f>
        <v>1144834.8</v>
      </c>
      <c r="J637" s="66">
        <f t="shared" si="131"/>
        <v>0</v>
      </c>
      <c r="K637" s="67">
        <f t="shared" si="129"/>
        <v>1144834.8</v>
      </c>
      <c r="L637" s="66">
        <f t="shared" si="131"/>
        <v>0</v>
      </c>
      <c r="M637" s="67">
        <f t="shared" si="130"/>
        <v>1144834.8</v>
      </c>
      <c r="N637" s="66">
        <f t="shared" si="131"/>
        <v>-21</v>
      </c>
      <c r="O637" s="67">
        <f t="shared" si="121"/>
        <v>1144813.8</v>
      </c>
    </row>
    <row r="638" spans="1:15" ht="49.5" x14ac:dyDescent="0.2">
      <c r="A638" s="64" t="str">
        <f ca="1">IF(ISERROR(MATCH(E638,Код_КЦСР,0)),"",INDIRECT(ADDRESS(MATCH(E638,Код_КЦСР,0)+1,2,,,"КЦСР")))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учреждениях, за счет средств областного бюджета</v>
      </c>
      <c r="B638" s="26">
        <v>805</v>
      </c>
      <c r="C638" s="65" t="s">
        <v>60</v>
      </c>
      <c r="D638" s="65" t="s">
        <v>70</v>
      </c>
      <c r="E638" s="26" t="s">
        <v>426</v>
      </c>
      <c r="F638" s="26"/>
      <c r="G638" s="66">
        <f t="shared" si="131"/>
        <v>1144834.8</v>
      </c>
      <c r="H638" s="66">
        <f t="shared" si="131"/>
        <v>0</v>
      </c>
      <c r="I638" s="67">
        <f t="shared" si="132"/>
        <v>1144834.8</v>
      </c>
      <c r="J638" s="66">
        <f t="shared" si="131"/>
        <v>0</v>
      </c>
      <c r="K638" s="67">
        <f t="shared" si="129"/>
        <v>1144834.8</v>
      </c>
      <c r="L638" s="66">
        <f t="shared" si="131"/>
        <v>0</v>
      </c>
      <c r="M638" s="67">
        <f t="shared" si="130"/>
        <v>1144834.8</v>
      </c>
      <c r="N638" s="66">
        <f t="shared" si="131"/>
        <v>-21</v>
      </c>
      <c r="O638" s="67">
        <f t="shared" si="121"/>
        <v>1144813.8</v>
      </c>
    </row>
    <row r="639" spans="1:15" ht="33" x14ac:dyDescent="0.2">
      <c r="A639" s="73" t="str">
        <f ca="1">IF(ISERROR(MATCH(F639,Код_КВР,0)),"",INDIRECT(ADDRESS(MATCH(F639,Код_КВР,0)+1,2,,,"КВР")))</f>
        <v>Предоставление субсидий бюджетным, автономным учреждениям и иным некоммерческим организациям</v>
      </c>
      <c r="B639" s="26">
        <v>805</v>
      </c>
      <c r="C639" s="65" t="s">
        <v>60</v>
      </c>
      <c r="D639" s="65" t="s">
        <v>70</v>
      </c>
      <c r="E639" s="26" t="s">
        <v>426</v>
      </c>
      <c r="F639" s="26">
        <v>600</v>
      </c>
      <c r="G639" s="66">
        <f>G640+G641</f>
        <v>1144834.8</v>
      </c>
      <c r="H639" s="66">
        <f>H640+H641</f>
        <v>0</v>
      </c>
      <c r="I639" s="67">
        <f t="shared" si="132"/>
        <v>1144834.8</v>
      </c>
      <c r="J639" s="66">
        <f>J640+J641</f>
        <v>0</v>
      </c>
      <c r="K639" s="67">
        <f t="shared" si="129"/>
        <v>1144834.8</v>
      </c>
      <c r="L639" s="66">
        <f>L640+L641</f>
        <v>0</v>
      </c>
      <c r="M639" s="67">
        <f t="shared" si="130"/>
        <v>1144834.8</v>
      </c>
      <c r="N639" s="66">
        <f>N640+N641</f>
        <v>-21</v>
      </c>
      <c r="O639" s="67">
        <f t="shared" si="121"/>
        <v>1144813.8</v>
      </c>
    </row>
    <row r="640" spans="1:15" x14ac:dyDescent="0.2">
      <c r="A640" s="64" t="str">
        <f ca="1">IF(ISERROR(MATCH(F640,Код_КВР,0)),"",INDIRECT(ADDRESS(MATCH(F640,Код_КВР,0)+1,2,,,"КВР")))</f>
        <v>Субсидии бюджетным учреждениям</v>
      </c>
      <c r="B640" s="26">
        <v>805</v>
      </c>
      <c r="C640" s="65" t="s">
        <v>60</v>
      </c>
      <c r="D640" s="65" t="s">
        <v>70</v>
      </c>
      <c r="E640" s="26" t="s">
        <v>426</v>
      </c>
      <c r="F640" s="26">
        <v>610</v>
      </c>
      <c r="G640" s="66">
        <f>770043.3+46291.6+216587.7+11438.6+5141.6+307.2</f>
        <v>1049810</v>
      </c>
      <c r="H640" s="66"/>
      <c r="I640" s="67">
        <f t="shared" si="132"/>
        <v>1049810</v>
      </c>
      <c r="J640" s="66"/>
      <c r="K640" s="67">
        <f t="shared" si="129"/>
        <v>1049810</v>
      </c>
      <c r="L640" s="66">
        <v>446.2</v>
      </c>
      <c r="M640" s="67">
        <f t="shared" si="130"/>
        <v>1050256.2</v>
      </c>
      <c r="N640" s="66">
        <v>-21</v>
      </c>
      <c r="O640" s="67">
        <f t="shared" si="121"/>
        <v>1050235.2</v>
      </c>
    </row>
    <row r="641" spans="1:15" x14ac:dyDescent="0.2">
      <c r="A641" s="64" t="str">
        <f ca="1">IF(ISERROR(MATCH(F641,Код_КВР,0)),"",INDIRECT(ADDRESS(MATCH(F641,Код_КВР,0)+1,2,,,"КВР")))</f>
        <v>Субсидии автономным учреждениям</v>
      </c>
      <c r="B641" s="26">
        <v>805</v>
      </c>
      <c r="C641" s="65" t="s">
        <v>60</v>
      </c>
      <c r="D641" s="65" t="s">
        <v>70</v>
      </c>
      <c r="E641" s="26" t="s">
        <v>426</v>
      </c>
      <c r="F641" s="26">
        <v>620</v>
      </c>
      <c r="G641" s="66">
        <f>73888.5+20639.2+497.1</f>
        <v>95024.8</v>
      </c>
      <c r="H641" s="66"/>
      <c r="I641" s="67">
        <f t="shared" si="132"/>
        <v>95024.8</v>
      </c>
      <c r="J641" s="66"/>
      <c r="K641" s="67">
        <f t="shared" si="129"/>
        <v>95024.8</v>
      </c>
      <c r="L641" s="66">
        <v>-446.2</v>
      </c>
      <c r="M641" s="67">
        <f t="shared" si="130"/>
        <v>94578.6</v>
      </c>
      <c r="N641" s="66"/>
      <c r="O641" s="67">
        <f t="shared" si="121"/>
        <v>94578.6</v>
      </c>
    </row>
    <row r="642" spans="1:15" ht="82.5" x14ac:dyDescent="0.2">
      <c r="A642" s="64" t="str">
        <f ca="1">IF(ISERROR(MATCH(E642,Код_КЦСР,0)),"",INDIRECT(ADDRESS(MATCH(E642,Код_КЦСР,0)+1,2,,,"КЦСР")))</f>
        <v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v>
      </c>
      <c r="B642" s="26">
        <v>805</v>
      </c>
      <c r="C642" s="65" t="s">
        <v>60</v>
      </c>
      <c r="D642" s="65" t="s">
        <v>70</v>
      </c>
      <c r="E642" s="26" t="s">
        <v>201</v>
      </c>
      <c r="F642" s="26"/>
      <c r="G642" s="66">
        <f>G643</f>
        <v>515121.7</v>
      </c>
      <c r="H642" s="66">
        <f>H643</f>
        <v>0</v>
      </c>
      <c r="I642" s="67">
        <f t="shared" si="132"/>
        <v>515121.7</v>
      </c>
      <c r="J642" s="66">
        <f>J643</f>
        <v>0</v>
      </c>
      <c r="K642" s="67">
        <f t="shared" si="129"/>
        <v>515121.7</v>
      </c>
      <c r="L642" s="66">
        <f>L643</f>
        <v>-966.30000000000007</v>
      </c>
      <c r="M642" s="67">
        <f t="shared" si="130"/>
        <v>514155.4</v>
      </c>
      <c r="N642" s="66">
        <f>N643</f>
        <v>-555.5</v>
      </c>
      <c r="O642" s="67">
        <f t="shared" si="121"/>
        <v>513599.9</v>
      </c>
    </row>
    <row r="643" spans="1:15" ht="33" x14ac:dyDescent="0.2">
      <c r="A643" s="64" t="str">
        <f ca="1">IF(ISERROR(MATCH(F643,Код_КВР,0)),"",INDIRECT(ADDRESS(MATCH(F643,Код_КВР,0)+1,2,,,"КВР")))</f>
        <v>Предоставление субсидий бюджетным, автономным учреждениям и иным некоммерческим организациям</v>
      </c>
      <c r="B643" s="26">
        <v>805</v>
      </c>
      <c r="C643" s="65" t="s">
        <v>60</v>
      </c>
      <c r="D643" s="65" t="s">
        <v>70</v>
      </c>
      <c r="E643" s="26" t="s">
        <v>201</v>
      </c>
      <c r="F643" s="26">
        <v>600</v>
      </c>
      <c r="G643" s="66">
        <f>G644+G645</f>
        <v>515121.7</v>
      </c>
      <c r="H643" s="66">
        <f>H644+H645</f>
        <v>0</v>
      </c>
      <c r="I643" s="67">
        <f t="shared" si="132"/>
        <v>515121.7</v>
      </c>
      <c r="J643" s="66">
        <f>J644+J645</f>
        <v>0</v>
      </c>
      <c r="K643" s="67">
        <f t="shared" si="129"/>
        <v>515121.7</v>
      </c>
      <c r="L643" s="66">
        <f>L644+L645</f>
        <v>-966.30000000000007</v>
      </c>
      <c r="M643" s="67">
        <f t="shared" si="130"/>
        <v>514155.4</v>
      </c>
      <c r="N643" s="66">
        <f>N644+N645</f>
        <v>-555.5</v>
      </c>
      <c r="O643" s="67">
        <f t="shared" si="121"/>
        <v>513599.9</v>
      </c>
    </row>
    <row r="644" spans="1:15" x14ac:dyDescent="0.2">
      <c r="A644" s="64" t="str">
        <f ca="1">IF(ISERROR(MATCH(F644,Код_КВР,0)),"",INDIRECT(ADDRESS(MATCH(F644,Код_КВР,0)+1,2,,,"КВР")))</f>
        <v>Субсидии бюджетным учреждениям</v>
      </c>
      <c r="B644" s="26">
        <v>805</v>
      </c>
      <c r="C644" s="65" t="s">
        <v>60</v>
      </c>
      <c r="D644" s="65" t="s">
        <v>70</v>
      </c>
      <c r="E644" s="26" t="s">
        <v>201</v>
      </c>
      <c r="F644" s="26">
        <v>610</v>
      </c>
      <c r="G644" s="66">
        <f>380163.2+54981+4950.6+22168</f>
        <v>462262.8</v>
      </c>
      <c r="H644" s="66"/>
      <c r="I644" s="67">
        <f t="shared" si="132"/>
        <v>462262.8</v>
      </c>
      <c r="J644" s="66"/>
      <c r="K644" s="67">
        <f t="shared" si="129"/>
        <v>462262.8</v>
      </c>
      <c r="L644" s="66">
        <f>-851-55.7</f>
        <v>-906.7</v>
      </c>
      <c r="M644" s="67">
        <f t="shared" si="130"/>
        <v>461356.1</v>
      </c>
      <c r="N644" s="66">
        <f>-128-427.5</f>
        <v>-555.5</v>
      </c>
      <c r="O644" s="67">
        <f t="shared" si="121"/>
        <v>460800.6</v>
      </c>
    </row>
    <row r="645" spans="1:15" x14ac:dyDescent="0.2">
      <c r="A645" s="64" t="str">
        <f ca="1">IF(ISERROR(MATCH(F645,Код_КВР,0)),"",INDIRECT(ADDRESS(MATCH(F645,Код_КВР,0)+1,2,,,"КВР")))</f>
        <v>Субсидии автономным учреждениям</v>
      </c>
      <c r="B645" s="26">
        <v>805</v>
      </c>
      <c r="C645" s="65" t="s">
        <v>60</v>
      </c>
      <c r="D645" s="65" t="s">
        <v>70</v>
      </c>
      <c r="E645" s="26" t="s">
        <v>201</v>
      </c>
      <c r="F645" s="26">
        <v>620</v>
      </c>
      <c r="G645" s="66">
        <f>35475.3+16932.9+450.7</f>
        <v>52858.9</v>
      </c>
      <c r="H645" s="66"/>
      <c r="I645" s="67">
        <f t="shared" si="132"/>
        <v>52858.9</v>
      </c>
      <c r="J645" s="66"/>
      <c r="K645" s="67">
        <f t="shared" si="129"/>
        <v>52858.9</v>
      </c>
      <c r="L645" s="66">
        <v>-59.6</v>
      </c>
      <c r="M645" s="67">
        <f t="shared" si="130"/>
        <v>52799.3</v>
      </c>
      <c r="N645" s="66"/>
      <c r="O645" s="67">
        <f t="shared" si="121"/>
        <v>52799.3</v>
      </c>
    </row>
    <row r="646" spans="1:15" ht="59.25" hidden="1" customHeight="1" x14ac:dyDescent="0.2">
      <c r="A646" s="52" t="str">
        <f ca="1">IF(ISERROR(MATCH(E646,Код_КЦСР,0)),"",INDIRECT(ADDRESS(MATCH(E646,Код_КЦСР,0)+1,2,,,"КЦСР")))</f>
        <v>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v>
      </c>
      <c r="B646" s="25">
        <v>805</v>
      </c>
      <c r="C646" s="87" t="s">
        <v>60</v>
      </c>
      <c r="D646" s="87" t="s">
        <v>70</v>
      </c>
      <c r="E646" s="25" t="s">
        <v>634</v>
      </c>
      <c r="F646" s="25"/>
      <c r="G646" s="88">
        <f t="shared" ref="G646:N648" si="133">G647</f>
        <v>1030.5</v>
      </c>
      <c r="H646" s="88">
        <f t="shared" si="133"/>
        <v>0</v>
      </c>
      <c r="I646" s="67">
        <f t="shared" si="132"/>
        <v>1030.5</v>
      </c>
      <c r="J646" s="88">
        <f>J647+J654+J650+J658</f>
        <v>800</v>
      </c>
      <c r="K646" s="67">
        <f t="shared" si="129"/>
        <v>1830.5</v>
      </c>
      <c r="L646" s="88">
        <f>L647+L654+L650+L658</f>
        <v>0</v>
      </c>
      <c r="M646" s="67">
        <f t="shared" si="130"/>
        <v>1830.5</v>
      </c>
      <c r="N646" s="88">
        <f>N647+N654+N650+N658</f>
        <v>0</v>
      </c>
      <c r="O646" s="67">
        <f t="shared" si="121"/>
        <v>1830.5</v>
      </c>
    </row>
    <row r="647" spans="1:15" ht="40.5" hidden="1" customHeight="1" x14ac:dyDescent="0.2">
      <c r="A647" s="52" t="str">
        <f ca="1">IF(ISERROR(MATCH(E647,Код_КЦСР,0)),"",INDIRECT(ADDRESS(MATCH(E647,Код_КЦСР,0)+1,2,,,"КЦСР")))</f>
        <v>Мероприятия государственной программы Российской Федерации «Доступная среда», за счет средств федерального бюджета</v>
      </c>
      <c r="B647" s="25">
        <v>805</v>
      </c>
      <c r="C647" s="87" t="s">
        <v>60</v>
      </c>
      <c r="D647" s="87" t="s">
        <v>70</v>
      </c>
      <c r="E647" s="25" t="s">
        <v>638</v>
      </c>
      <c r="F647" s="25"/>
      <c r="G647" s="88">
        <f t="shared" si="133"/>
        <v>1030.5</v>
      </c>
      <c r="H647" s="88">
        <f t="shared" si="133"/>
        <v>0</v>
      </c>
      <c r="I647" s="67">
        <f t="shared" si="132"/>
        <v>1030.5</v>
      </c>
      <c r="J647" s="88">
        <f t="shared" si="133"/>
        <v>-1030.5</v>
      </c>
      <c r="K647" s="67">
        <f t="shared" si="129"/>
        <v>0</v>
      </c>
      <c r="L647" s="88">
        <f t="shared" si="133"/>
        <v>0</v>
      </c>
      <c r="M647" s="67">
        <f t="shared" si="130"/>
        <v>0</v>
      </c>
      <c r="N647" s="88">
        <f t="shared" si="133"/>
        <v>0</v>
      </c>
      <c r="O647" s="67">
        <f t="shared" si="121"/>
        <v>0</v>
      </c>
    </row>
    <row r="648" spans="1:15" ht="33" hidden="1" x14ac:dyDescent="0.2">
      <c r="A648" s="52" t="str">
        <f ca="1">IF(ISERROR(MATCH(F648,Код_КВР,0)),"",INDIRECT(ADDRESS(MATCH(F648,Код_КВР,0)+1,2,,,"КВР")))</f>
        <v>Предоставление субсидий бюджетным, автономным учреждениям и иным некоммерческим организациям</v>
      </c>
      <c r="B648" s="25">
        <v>805</v>
      </c>
      <c r="C648" s="87" t="s">
        <v>60</v>
      </c>
      <c r="D648" s="87" t="s">
        <v>70</v>
      </c>
      <c r="E648" s="25" t="s">
        <v>638</v>
      </c>
      <c r="F648" s="25">
        <v>600</v>
      </c>
      <c r="G648" s="88">
        <f t="shared" si="133"/>
        <v>1030.5</v>
      </c>
      <c r="H648" s="88">
        <f t="shared" si="133"/>
        <v>0</v>
      </c>
      <c r="I648" s="67">
        <f t="shared" si="132"/>
        <v>1030.5</v>
      </c>
      <c r="J648" s="88">
        <f t="shared" si="133"/>
        <v>-1030.5</v>
      </c>
      <c r="K648" s="67">
        <f t="shared" si="129"/>
        <v>0</v>
      </c>
      <c r="L648" s="88">
        <f t="shared" si="133"/>
        <v>0</v>
      </c>
      <c r="M648" s="67">
        <f t="shared" si="130"/>
        <v>0</v>
      </c>
      <c r="N648" s="88">
        <f t="shared" si="133"/>
        <v>0</v>
      </c>
      <c r="O648" s="67">
        <f t="shared" si="121"/>
        <v>0</v>
      </c>
    </row>
    <row r="649" spans="1:15" ht="23.25" hidden="1" customHeight="1" x14ac:dyDescent="0.2">
      <c r="A649" s="52" t="str">
        <f ca="1">IF(ISERROR(MATCH(F649,Код_КВР,0)),"",INDIRECT(ADDRESS(MATCH(F649,Код_КВР,0)+1,2,,,"КВР")))</f>
        <v>Субсидии автономным учреждениям</v>
      </c>
      <c r="B649" s="25">
        <v>805</v>
      </c>
      <c r="C649" s="87" t="s">
        <v>60</v>
      </c>
      <c r="D649" s="87" t="s">
        <v>70</v>
      </c>
      <c r="E649" s="25" t="s">
        <v>638</v>
      </c>
      <c r="F649" s="25">
        <v>620</v>
      </c>
      <c r="G649" s="88">
        <v>1030.5</v>
      </c>
      <c r="H649" s="88"/>
      <c r="I649" s="67">
        <f t="shared" si="132"/>
        <v>1030.5</v>
      </c>
      <c r="J649" s="88">
        <v>-1030.5</v>
      </c>
      <c r="K649" s="67">
        <f t="shared" si="129"/>
        <v>0</v>
      </c>
      <c r="L649" s="88"/>
      <c r="M649" s="67">
        <f t="shared" si="130"/>
        <v>0</v>
      </c>
      <c r="N649" s="88"/>
      <c r="O649" s="67">
        <f t="shared" si="121"/>
        <v>0</v>
      </c>
    </row>
    <row r="650" spans="1:15" ht="111.75" customHeight="1" x14ac:dyDescent="0.2">
      <c r="A650" s="52" t="str">
        <f ca="1">IF(ISERROR(MATCH(E650,Код_КЦСР,0)),"",INDIRECT(ADDRESS(MATCH(E650,Код_КЦСР,0)+1,2,,,"КЦСР")))</f>
        <v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образования, в рамках софинансирования с федеральным бюджетом</v>
      </c>
      <c r="B650" s="25">
        <v>805</v>
      </c>
      <c r="C650" s="87" t="s">
        <v>60</v>
      </c>
      <c r="D650" s="87" t="s">
        <v>70</v>
      </c>
      <c r="E650" s="25" t="s">
        <v>674</v>
      </c>
      <c r="F650" s="25"/>
      <c r="G650" s="88"/>
      <c r="H650" s="88"/>
      <c r="I650" s="67"/>
      <c r="J650" s="88">
        <f>J651</f>
        <v>184</v>
      </c>
      <c r="K650" s="67">
        <f t="shared" si="129"/>
        <v>184</v>
      </c>
      <c r="L650" s="88">
        <f>L651</f>
        <v>432</v>
      </c>
      <c r="M650" s="67">
        <f t="shared" si="130"/>
        <v>616</v>
      </c>
      <c r="N650" s="88">
        <f>N651</f>
        <v>0</v>
      </c>
      <c r="O650" s="67">
        <f t="shared" si="121"/>
        <v>616</v>
      </c>
    </row>
    <row r="651" spans="1:15" ht="41.25" customHeight="1" x14ac:dyDescent="0.2">
      <c r="A651" s="52" t="str">
        <f ca="1">IF(ISERROR(MATCH(F651,Код_КВР,0)),"",INDIRECT(ADDRESS(MATCH(F651,Код_КВР,0)+1,2,,,"КВР")))</f>
        <v>Предоставление субсидий бюджетным, автономным учреждениям и иным некоммерческим организациям</v>
      </c>
      <c r="B651" s="25">
        <v>805</v>
      </c>
      <c r="C651" s="87" t="s">
        <v>60</v>
      </c>
      <c r="D651" s="87" t="s">
        <v>70</v>
      </c>
      <c r="E651" s="25" t="s">
        <v>674</v>
      </c>
      <c r="F651" s="25">
        <v>600</v>
      </c>
      <c r="G651" s="88"/>
      <c r="H651" s="88"/>
      <c r="I651" s="67"/>
      <c r="J651" s="88">
        <f>SUM(J652:J653)</f>
        <v>184</v>
      </c>
      <c r="K651" s="67">
        <f t="shared" si="129"/>
        <v>184</v>
      </c>
      <c r="L651" s="88">
        <f>SUM(L652:L653)</f>
        <v>432</v>
      </c>
      <c r="M651" s="67">
        <f t="shared" si="130"/>
        <v>616</v>
      </c>
      <c r="N651" s="88">
        <f>SUM(N652:N653)</f>
        <v>0</v>
      </c>
      <c r="O651" s="67">
        <f t="shared" si="121"/>
        <v>616</v>
      </c>
    </row>
    <row r="652" spans="1:15" ht="23.25" customHeight="1" x14ac:dyDescent="0.2">
      <c r="A652" s="52" t="str">
        <f ca="1">IF(ISERROR(MATCH(F652,Код_КВР,0)),"",INDIRECT(ADDRESS(MATCH(F652,Код_КВР,0)+1,2,,,"КВР")))</f>
        <v>Субсидии бюджетным учреждениям</v>
      </c>
      <c r="B652" s="25">
        <v>805</v>
      </c>
      <c r="C652" s="87" t="s">
        <v>60</v>
      </c>
      <c r="D652" s="87" t="s">
        <v>70</v>
      </c>
      <c r="E652" s="25" t="s">
        <v>674</v>
      </c>
      <c r="F652" s="25">
        <v>610</v>
      </c>
      <c r="G652" s="88"/>
      <c r="H652" s="88"/>
      <c r="I652" s="67"/>
      <c r="J652" s="88">
        <v>92</v>
      </c>
      <c r="K652" s="67">
        <f t="shared" si="129"/>
        <v>92</v>
      </c>
      <c r="L652" s="88">
        <v>216</v>
      </c>
      <c r="M652" s="67">
        <f t="shared" si="130"/>
        <v>308</v>
      </c>
      <c r="N652" s="88"/>
      <c r="O652" s="67">
        <f t="shared" si="121"/>
        <v>308</v>
      </c>
    </row>
    <row r="653" spans="1:15" ht="23.25" customHeight="1" x14ac:dyDescent="0.2">
      <c r="A653" s="52" t="str">
        <f ca="1">IF(ISERROR(MATCH(F653,Код_КВР,0)),"",INDIRECT(ADDRESS(MATCH(F653,Код_КВР,0)+1,2,,,"КВР")))</f>
        <v>Субсидии автономным учреждениям</v>
      </c>
      <c r="B653" s="25">
        <v>805</v>
      </c>
      <c r="C653" s="87" t="s">
        <v>60</v>
      </c>
      <c r="D653" s="87" t="s">
        <v>70</v>
      </c>
      <c r="E653" s="25" t="s">
        <v>674</v>
      </c>
      <c r="F653" s="25">
        <v>620</v>
      </c>
      <c r="G653" s="88"/>
      <c r="H653" s="88"/>
      <c r="I653" s="67"/>
      <c r="J653" s="88">
        <v>92</v>
      </c>
      <c r="K653" s="67">
        <f t="shared" si="129"/>
        <v>92</v>
      </c>
      <c r="L653" s="88">
        <v>216</v>
      </c>
      <c r="M653" s="67">
        <f t="shared" si="130"/>
        <v>308</v>
      </c>
      <c r="N653" s="88"/>
      <c r="O653" s="67">
        <f t="shared" si="121"/>
        <v>308</v>
      </c>
    </row>
    <row r="654" spans="1:15" ht="105" customHeight="1" x14ac:dyDescent="0.2">
      <c r="A654" s="52" t="str">
        <f ca="1">IF(ISERROR(MATCH(E654,Код_КЦСР,0)),"",INDIRECT(ADDRESS(MATCH(E654,Код_КЦСР,0)+1,2,,,"КЦСР")))</f>
        <v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образования, за счет средств вышестоящих бюджетов</v>
      </c>
      <c r="B654" s="25">
        <v>805</v>
      </c>
      <c r="C654" s="87" t="s">
        <v>60</v>
      </c>
      <c r="D654" s="87" t="s">
        <v>70</v>
      </c>
      <c r="E654" s="25" t="s">
        <v>672</v>
      </c>
      <c r="F654" s="25"/>
      <c r="G654" s="88"/>
      <c r="H654" s="88"/>
      <c r="I654" s="67"/>
      <c r="J654" s="88">
        <f>J655</f>
        <v>1030.5</v>
      </c>
      <c r="K654" s="67">
        <f t="shared" si="129"/>
        <v>1030.5</v>
      </c>
      <c r="L654" s="88">
        <f>L655</f>
        <v>0</v>
      </c>
      <c r="M654" s="67">
        <f t="shared" si="130"/>
        <v>1030.5</v>
      </c>
      <c r="N654" s="88">
        <f>N655</f>
        <v>0</v>
      </c>
      <c r="O654" s="67">
        <f t="shared" si="121"/>
        <v>1030.5</v>
      </c>
    </row>
    <row r="655" spans="1:15" ht="45" customHeight="1" x14ac:dyDescent="0.2">
      <c r="A655" s="52" t="str">
        <f ca="1">IF(ISERROR(MATCH(F655,Код_КВР,0)),"",INDIRECT(ADDRESS(MATCH(F655,Код_КВР,0)+1,2,,,"КВР")))</f>
        <v>Предоставление субсидий бюджетным, автономным учреждениям и иным некоммерческим организациям</v>
      </c>
      <c r="B655" s="25">
        <v>805</v>
      </c>
      <c r="C655" s="87" t="s">
        <v>60</v>
      </c>
      <c r="D655" s="87" t="s">
        <v>70</v>
      </c>
      <c r="E655" s="25" t="s">
        <v>672</v>
      </c>
      <c r="F655" s="25">
        <v>600</v>
      </c>
      <c r="G655" s="88"/>
      <c r="H655" s="88"/>
      <c r="I655" s="67"/>
      <c r="J655" s="88">
        <f>J656+J657</f>
        <v>1030.5</v>
      </c>
      <c r="K655" s="67">
        <f t="shared" si="129"/>
        <v>1030.5</v>
      </c>
      <c r="L655" s="88">
        <f>L656+L657</f>
        <v>0</v>
      </c>
      <c r="M655" s="67">
        <f t="shared" si="130"/>
        <v>1030.5</v>
      </c>
      <c r="N655" s="88">
        <f>N656+N657</f>
        <v>0</v>
      </c>
      <c r="O655" s="67">
        <f t="shared" si="121"/>
        <v>1030.5</v>
      </c>
    </row>
    <row r="656" spans="1:15" ht="29.25" customHeight="1" x14ac:dyDescent="0.2">
      <c r="A656" s="52" t="str">
        <f ca="1">IF(ISERROR(MATCH(F656,Код_КВР,0)),"",INDIRECT(ADDRESS(MATCH(F656,Код_КВР,0)+1,2,,,"КВР")))</f>
        <v>Субсидии бюджетным учреждениям</v>
      </c>
      <c r="B656" s="25">
        <v>805</v>
      </c>
      <c r="C656" s="87" t="s">
        <v>60</v>
      </c>
      <c r="D656" s="87" t="s">
        <v>70</v>
      </c>
      <c r="E656" s="25" t="s">
        <v>672</v>
      </c>
      <c r="F656" s="25">
        <v>610</v>
      </c>
      <c r="G656" s="88"/>
      <c r="H656" s="88"/>
      <c r="I656" s="67"/>
      <c r="J656" s="88">
        <f>115+385</f>
        <v>500</v>
      </c>
      <c r="K656" s="67">
        <f t="shared" si="129"/>
        <v>500</v>
      </c>
      <c r="L656" s="88"/>
      <c r="M656" s="67">
        <f t="shared" si="130"/>
        <v>500</v>
      </c>
      <c r="N656" s="88"/>
      <c r="O656" s="67">
        <f t="shared" si="121"/>
        <v>500</v>
      </c>
    </row>
    <row r="657" spans="1:15" ht="29.25" customHeight="1" x14ac:dyDescent="0.2">
      <c r="A657" s="52" t="str">
        <f ca="1">IF(ISERROR(MATCH(F657,Код_КВР,0)),"",INDIRECT(ADDRESS(MATCH(F657,Код_КВР,0)+1,2,,,"КВР")))</f>
        <v>Субсидии автономным учреждениям</v>
      </c>
      <c r="B657" s="25">
        <v>805</v>
      </c>
      <c r="C657" s="87" t="s">
        <v>60</v>
      </c>
      <c r="D657" s="87" t="s">
        <v>70</v>
      </c>
      <c r="E657" s="25" t="s">
        <v>672</v>
      </c>
      <c r="F657" s="25">
        <v>620</v>
      </c>
      <c r="G657" s="88"/>
      <c r="H657" s="88"/>
      <c r="I657" s="67"/>
      <c r="J657" s="88">
        <f>122+408.5</f>
        <v>530.5</v>
      </c>
      <c r="K657" s="67">
        <f t="shared" si="129"/>
        <v>530.5</v>
      </c>
      <c r="L657" s="88"/>
      <c r="M657" s="67">
        <f t="shared" si="130"/>
        <v>530.5</v>
      </c>
      <c r="N657" s="88"/>
      <c r="O657" s="67">
        <f t="shared" si="121"/>
        <v>530.5</v>
      </c>
    </row>
    <row r="658" spans="1:15" ht="108" customHeight="1" x14ac:dyDescent="0.2">
      <c r="A658" s="52" t="str">
        <f ca="1">IF(ISERROR(MATCH(E658,Код_КЦСР,0)),"",INDIRECT(ADDRESS(MATCH(E658,Код_КЦСР,0)+1,2,,,"КЦСР")))</f>
        <v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образования, в рамках софинансирования с областным бюджетом</v>
      </c>
      <c r="B658" s="25">
        <v>805</v>
      </c>
      <c r="C658" s="87" t="s">
        <v>60</v>
      </c>
      <c r="D658" s="87" t="s">
        <v>70</v>
      </c>
      <c r="E658" s="25" t="s">
        <v>675</v>
      </c>
      <c r="F658" s="25"/>
      <c r="G658" s="88"/>
      <c r="H658" s="88"/>
      <c r="I658" s="67"/>
      <c r="J658" s="88">
        <f>J659</f>
        <v>616</v>
      </c>
      <c r="K658" s="67">
        <f t="shared" si="129"/>
        <v>616</v>
      </c>
      <c r="L658" s="88">
        <f>L659</f>
        <v>-432</v>
      </c>
      <c r="M658" s="67">
        <f t="shared" si="130"/>
        <v>184</v>
      </c>
      <c r="N658" s="88">
        <f>N659</f>
        <v>0</v>
      </c>
      <c r="O658" s="67">
        <f t="shared" si="121"/>
        <v>184</v>
      </c>
    </row>
    <row r="659" spans="1:15" ht="44.25" customHeight="1" x14ac:dyDescent="0.2">
      <c r="A659" s="52" t="str">
        <f ca="1">IF(ISERROR(MATCH(F659,Код_КВР,0)),"",INDIRECT(ADDRESS(MATCH(F659,Код_КВР,0)+1,2,,,"КВР")))</f>
        <v>Предоставление субсидий бюджетным, автономным учреждениям и иным некоммерческим организациям</v>
      </c>
      <c r="B659" s="25">
        <v>805</v>
      </c>
      <c r="C659" s="87" t="s">
        <v>60</v>
      </c>
      <c r="D659" s="87" t="s">
        <v>70</v>
      </c>
      <c r="E659" s="25" t="s">
        <v>675</v>
      </c>
      <c r="F659" s="25">
        <v>600</v>
      </c>
      <c r="G659" s="88"/>
      <c r="H659" s="88"/>
      <c r="I659" s="67"/>
      <c r="J659" s="88">
        <f>SUM(J660:J661)</f>
        <v>616</v>
      </c>
      <c r="K659" s="67">
        <f t="shared" si="129"/>
        <v>616</v>
      </c>
      <c r="L659" s="88">
        <f>SUM(L660:L661)</f>
        <v>-432</v>
      </c>
      <c r="M659" s="67">
        <f t="shared" si="130"/>
        <v>184</v>
      </c>
      <c r="N659" s="88">
        <f>SUM(N660:N661)</f>
        <v>0</v>
      </c>
      <c r="O659" s="67">
        <f t="shared" ref="O659:O722" si="134">M659+N659</f>
        <v>184</v>
      </c>
    </row>
    <row r="660" spans="1:15" ht="29.25" customHeight="1" x14ac:dyDescent="0.2">
      <c r="A660" s="52" t="str">
        <f ca="1">IF(ISERROR(MATCH(F660,Код_КВР,0)),"",INDIRECT(ADDRESS(MATCH(F660,Код_КВР,0)+1,2,,,"КВР")))</f>
        <v>Субсидии бюджетным учреждениям</v>
      </c>
      <c r="B660" s="25">
        <v>805</v>
      </c>
      <c r="C660" s="87" t="s">
        <v>60</v>
      </c>
      <c r="D660" s="87" t="s">
        <v>70</v>
      </c>
      <c r="E660" s="25" t="s">
        <v>675</v>
      </c>
      <c r="F660" s="25">
        <v>610</v>
      </c>
      <c r="G660" s="88"/>
      <c r="H660" s="88"/>
      <c r="I660" s="67"/>
      <c r="J660" s="88">
        <v>308</v>
      </c>
      <c r="K660" s="67">
        <f t="shared" si="129"/>
        <v>308</v>
      </c>
      <c r="L660" s="88">
        <v>-216</v>
      </c>
      <c r="M660" s="67">
        <f t="shared" si="130"/>
        <v>92</v>
      </c>
      <c r="N660" s="88"/>
      <c r="O660" s="67">
        <f t="shared" si="134"/>
        <v>92</v>
      </c>
    </row>
    <row r="661" spans="1:15" ht="29.25" customHeight="1" x14ac:dyDescent="0.2">
      <c r="A661" s="52" t="str">
        <f ca="1">IF(ISERROR(MATCH(F661,Код_КВР,0)),"",INDIRECT(ADDRESS(MATCH(F661,Код_КВР,0)+1,2,,,"КВР")))</f>
        <v>Субсидии автономным учреждениям</v>
      </c>
      <c r="B661" s="25">
        <v>805</v>
      </c>
      <c r="C661" s="87" t="s">
        <v>60</v>
      </c>
      <c r="D661" s="87" t="s">
        <v>70</v>
      </c>
      <c r="E661" s="25" t="s">
        <v>675</v>
      </c>
      <c r="F661" s="25">
        <v>620</v>
      </c>
      <c r="G661" s="88"/>
      <c r="H661" s="88"/>
      <c r="I661" s="67"/>
      <c r="J661" s="88">
        <v>308</v>
      </c>
      <c r="K661" s="67">
        <f t="shared" si="129"/>
        <v>308</v>
      </c>
      <c r="L661" s="88">
        <v>-216</v>
      </c>
      <c r="M661" s="67">
        <f t="shared" si="130"/>
        <v>92</v>
      </c>
      <c r="N661" s="88"/>
      <c r="O661" s="67">
        <f t="shared" si="134"/>
        <v>92</v>
      </c>
    </row>
    <row r="662" spans="1:15" x14ac:dyDescent="0.2">
      <c r="A662" s="52" t="str">
        <f ca="1">IF(ISERROR(MATCH(E662,Код_КЦСР,0)),"",INDIRECT(ADDRESS(MATCH(E662,Код_КЦСР,0)+1,2,,,"КЦСР")))</f>
        <v>Общее образование</v>
      </c>
      <c r="B662" s="25">
        <v>805</v>
      </c>
      <c r="C662" s="87" t="s">
        <v>60</v>
      </c>
      <c r="D662" s="87" t="s">
        <v>70</v>
      </c>
      <c r="E662" s="25" t="s">
        <v>204</v>
      </c>
      <c r="F662" s="25"/>
      <c r="G662" s="88">
        <f>G663</f>
        <v>15921.5</v>
      </c>
      <c r="H662" s="88">
        <f>H663</f>
        <v>0</v>
      </c>
      <c r="I662" s="67">
        <f t="shared" si="132"/>
        <v>15921.5</v>
      </c>
      <c r="J662" s="88">
        <f>J663</f>
        <v>0</v>
      </c>
      <c r="K662" s="67">
        <f t="shared" si="129"/>
        <v>15921.5</v>
      </c>
      <c r="L662" s="88">
        <f>L663</f>
        <v>0</v>
      </c>
      <c r="M662" s="67">
        <f t="shared" si="130"/>
        <v>15921.5</v>
      </c>
      <c r="N662" s="88">
        <f>N663</f>
        <v>0</v>
      </c>
      <c r="O662" s="67">
        <f t="shared" si="134"/>
        <v>15921.5</v>
      </c>
    </row>
    <row r="663" spans="1:15" ht="66" x14ac:dyDescent="0.2">
      <c r="A663" s="64" t="str">
        <f ca="1">IF(ISERROR(MATCH(E663,Код_КЦСР,0)),"",INDIRECT(ADDRESS(MATCH(E663,Код_КЦСР,0)+1,2,,,"КЦСР")))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663" s="26">
        <v>805</v>
      </c>
      <c r="C663" s="65" t="s">
        <v>60</v>
      </c>
      <c r="D663" s="65" t="s">
        <v>70</v>
      </c>
      <c r="E663" s="26" t="s">
        <v>209</v>
      </c>
      <c r="F663" s="26"/>
      <c r="G663" s="66">
        <f t="shared" ref="G663:N664" si="135">G664</f>
        <v>15921.5</v>
      </c>
      <c r="H663" s="66">
        <f t="shared" si="135"/>
        <v>0</v>
      </c>
      <c r="I663" s="67">
        <f t="shared" si="132"/>
        <v>15921.5</v>
      </c>
      <c r="J663" s="66">
        <f t="shared" si="135"/>
        <v>0</v>
      </c>
      <c r="K663" s="67">
        <f t="shared" si="129"/>
        <v>15921.5</v>
      </c>
      <c r="L663" s="66">
        <f t="shared" si="135"/>
        <v>0</v>
      </c>
      <c r="M663" s="67">
        <f t="shared" si="130"/>
        <v>15921.5</v>
      </c>
      <c r="N663" s="66">
        <f t="shared" si="135"/>
        <v>0</v>
      </c>
      <c r="O663" s="67">
        <f t="shared" si="134"/>
        <v>15921.5</v>
      </c>
    </row>
    <row r="664" spans="1:15" ht="66" x14ac:dyDescent="0.2">
      <c r="A664" s="64" t="str">
        <f ca="1">IF(ISERROR(MATCH(E664,Код_КЦСР,0)),"",INDIRECT(ADDRESS(MATCH(E664,Код_КЦСР,0)+1,2,,,"КЦСР")))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образования», за счет средств областного бюджета</v>
      </c>
      <c r="B664" s="26">
        <v>805</v>
      </c>
      <c r="C664" s="65" t="s">
        <v>60</v>
      </c>
      <c r="D664" s="65" t="s">
        <v>70</v>
      </c>
      <c r="E664" s="26" t="s">
        <v>210</v>
      </c>
      <c r="F664" s="26"/>
      <c r="G664" s="66">
        <f t="shared" si="135"/>
        <v>15921.5</v>
      </c>
      <c r="H664" s="66">
        <f t="shared" si="135"/>
        <v>0</v>
      </c>
      <c r="I664" s="67">
        <f t="shared" si="132"/>
        <v>15921.5</v>
      </c>
      <c r="J664" s="66">
        <f t="shared" si="135"/>
        <v>0</v>
      </c>
      <c r="K664" s="67">
        <f t="shared" si="129"/>
        <v>15921.5</v>
      </c>
      <c r="L664" s="66">
        <f t="shared" si="135"/>
        <v>0</v>
      </c>
      <c r="M664" s="67">
        <f t="shared" si="130"/>
        <v>15921.5</v>
      </c>
      <c r="N664" s="66">
        <f t="shared" si="135"/>
        <v>0</v>
      </c>
      <c r="O664" s="67">
        <f t="shared" si="134"/>
        <v>15921.5</v>
      </c>
    </row>
    <row r="665" spans="1:15" ht="33" x14ac:dyDescent="0.2">
      <c r="A665" s="64" t="str">
        <f ca="1">IF(ISERROR(MATCH(F665,Код_КВР,0)),"",INDIRECT(ADDRESS(MATCH(F665,Код_КВР,0)+1,2,,,"КВР")))</f>
        <v>Предоставление субсидий бюджетным, автономным учреждениям и иным некоммерческим организациям</v>
      </c>
      <c r="B665" s="26">
        <v>805</v>
      </c>
      <c r="C665" s="65" t="s">
        <v>60</v>
      </c>
      <c r="D665" s="65" t="s">
        <v>70</v>
      </c>
      <c r="E665" s="26" t="s">
        <v>210</v>
      </c>
      <c r="F665" s="26">
        <v>600</v>
      </c>
      <c r="G665" s="66">
        <f>G666+G667</f>
        <v>15921.5</v>
      </c>
      <c r="H665" s="66">
        <f>H666+H667</f>
        <v>0</v>
      </c>
      <c r="I665" s="67">
        <f t="shared" si="132"/>
        <v>15921.5</v>
      </c>
      <c r="J665" s="66">
        <f>J666+J667</f>
        <v>0</v>
      </c>
      <c r="K665" s="67">
        <f t="shared" si="129"/>
        <v>15921.5</v>
      </c>
      <c r="L665" s="66">
        <f>L666+L667</f>
        <v>0</v>
      </c>
      <c r="M665" s="67">
        <f t="shared" si="130"/>
        <v>15921.5</v>
      </c>
      <c r="N665" s="66">
        <f>N666+N667</f>
        <v>0</v>
      </c>
      <c r="O665" s="67">
        <f t="shared" si="134"/>
        <v>15921.5</v>
      </c>
    </row>
    <row r="666" spans="1:15" x14ac:dyDescent="0.2">
      <c r="A666" s="64" t="str">
        <f ca="1">IF(ISERROR(MATCH(F666,Код_КВР,0)),"",INDIRECT(ADDRESS(MATCH(F666,Код_КВР,0)+1,2,,,"КВР")))</f>
        <v>Субсидии бюджетным учреждениям</v>
      </c>
      <c r="B666" s="26">
        <v>805</v>
      </c>
      <c r="C666" s="65" t="s">
        <v>60</v>
      </c>
      <c r="D666" s="65" t="s">
        <v>70</v>
      </c>
      <c r="E666" s="26" t="s">
        <v>210</v>
      </c>
      <c r="F666" s="26">
        <v>610</v>
      </c>
      <c r="G666" s="66">
        <f>14329.3</f>
        <v>14329.3</v>
      </c>
      <c r="H666" s="66"/>
      <c r="I666" s="67">
        <f t="shared" si="132"/>
        <v>14329.3</v>
      </c>
      <c r="J666" s="66"/>
      <c r="K666" s="67">
        <f t="shared" si="129"/>
        <v>14329.3</v>
      </c>
      <c r="L666" s="66"/>
      <c r="M666" s="67">
        <f t="shared" si="130"/>
        <v>14329.3</v>
      </c>
      <c r="N666" s="66"/>
      <c r="O666" s="67">
        <f t="shared" si="134"/>
        <v>14329.3</v>
      </c>
    </row>
    <row r="667" spans="1:15" x14ac:dyDescent="0.2">
      <c r="A667" s="64" t="str">
        <f ca="1">IF(ISERROR(MATCH(F667,Код_КВР,0)),"",INDIRECT(ADDRESS(MATCH(F667,Код_КВР,0)+1,2,,,"КВР")))</f>
        <v>Субсидии автономным учреждениям</v>
      </c>
      <c r="B667" s="26">
        <v>805</v>
      </c>
      <c r="C667" s="65" t="s">
        <v>60</v>
      </c>
      <c r="D667" s="65" t="s">
        <v>70</v>
      </c>
      <c r="E667" s="26" t="s">
        <v>210</v>
      </c>
      <c r="F667" s="26">
        <v>620</v>
      </c>
      <c r="G667" s="66">
        <v>1592.2</v>
      </c>
      <c r="H667" s="66"/>
      <c r="I667" s="67">
        <f t="shared" si="132"/>
        <v>1592.2</v>
      </c>
      <c r="J667" s="66"/>
      <c r="K667" s="67">
        <f t="shared" si="129"/>
        <v>1592.2</v>
      </c>
      <c r="L667" s="66"/>
      <c r="M667" s="67">
        <f t="shared" si="130"/>
        <v>1592.2</v>
      </c>
      <c r="N667" s="66"/>
      <c r="O667" s="67">
        <f t="shared" si="134"/>
        <v>1592.2</v>
      </c>
    </row>
    <row r="668" spans="1:15" x14ac:dyDescent="0.2">
      <c r="A668" s="64" t="str">
        <f ca="1">IF(ISERROR(MATCH(E668,Код_КЦСР,0)),"",INDIRECT(ADDRESS(MATCH(E668,Код_КЦСР,0)+1,2,,,"КЦСР")))</f>
        <v>Кадровое обеспечение муниципальной системы образования</v>
      </c>
      <c r="B668" s="26">
        <v>805</v>
      </c>
      <c r="C668" s="65" t="s">
        <v>60</v>
      </c>
      <c r="D668" s="65" t="s">
        <v>70</v>
      </c>
      <c r="E668" s="26" t="s">
        <v>216</v>
      </c>
      <c r="F668" s="26"/>
      <c r="G668" s="66">
        <f>G669</f>
        <v>130.19999999999999</v>
      </c>
      <c r="H668" s="66">
        <f>H669</f>
        <v>0</v>
      </c>
      <c r="I668" s="67">
        <f t="shared" si="132"/>
        <v>130.19999999999999</v>
      </c>
      <c r="J668" s="66">
        <f>J669</f>
        <v>0</v>
      </c>
      <c r="K668" s="67">
        <f t="shared" si="129"/>
        <v>130.19999999999999</v>
      </c>
      <c r="L668" s="66">
        <f>L669</f>
        <v>0</v>
      </c>
      <c r="M668" s="67">
        <f t="shared" si="130"/>
        <v>130.19999999999999</v>
      </c>
      <c r="N668" s="66">
        <f>N669</f>
        <v>0</v>
      </c>
      <c r="O668" s="67">
        <f t="shared" si="134"/>
        <v>130.19999999999999</v>
      </c>
    </row>
    <row r="669" spans="1:15" ht="33" x14ac:dyDescent="0.2">
      <c r="A669" s="64" t="str">
        <f ca="1">IF(ISERROR(MATCH(E669,Код_КЦСР,0)),"",INDIRECT(ADDRESS(MATCH(E669,Код_КЦСР,0)+1,2,,,"КЦСР")))</f>
        <v>Осуществление выплат городских премий работникам муниципальных образовательных учреждений</v>
      </c>
      <c r="B669" s="26">
        <v>805</v>
      </c>
      <c r="C669" s="65" t="s">
        <v>60</v>
      </c>
      <c r="D669" s="65" t="s">
        <v>70</v>
      </c>
      <c r="E669" s="26" t="s">
        <v>217</v>
      </c>
      <c r="F669" s="26"/>
      <c r="G669" s="66">
        <f t="shared" ref="G669:N672" si="136">G670</f>
        <v>130.19999999999999</v>
      </c>
      <c r="H669" s="66">
        <f t="shared" si="136"/>
        <v>0</v>
      </c>
      <c r="I669" s="67">
        <f t="shared" si="132"/>
        <v>130.19999999999999</v>
      </c>
      <c r="J669" s="66">
        <f t="shared" si="136"/>
        <v>0</v>
      </c>
      <c r="K669" s="67">
        <f t="shared" si="129"/>
        <v>130.19999999999999</v>
      </c>
      <c r="L669" s="66">
        <f t="shared" si="136"/>
        <v>0</v>
      </c>
      <c r="M669" s="67">
        <f t="shared" si="130"/>
        <v>130.19999999999999</v>
      </c>
      <c r="N669" s="66">
        <f t="shared" si="136"/>
        <v>0</v>
      </c>
      <c r="O669" s="67">
        <f t="shared" si="134"/>
        <v>130.19999999999999</v>
      </c>
    </row>
    <row r="670" spans="1:15" ht="33" x14ac:dyDescent="0.2">
      <c r="A670" s="64" t="str">
        <f ca="1">IF(ISERROR(MATCH(E670,Код_КЦСР,0)),"",INDIRECT(ADDRESS(MATCH(E670,Код_КЦСР,0)+1,2,,,"КЦСР")))</f>
        <v>Осуществление выплат городских премий работникам муниципальных образовательных учреждений, за счет средств городского бюджета</v>
      </c>
      <c r="B670" s="26">
        <v>805</v>
      </c>
      <c r="C670" s="65" t="s">
        <v>60</v>
      </c>
      <c r="D670" s="65" t="s">
        <v>70</v>
      </c>
      <c r="E670" s="26" t="s">
        <v>219</v>
      </c>
      <c r="F670" s="26"/>
      <c r="G670" s="66">
        <f t="shared" si="136"/>
        <v>130.19999999999999</v>
      </c>
      <c r="H670" s="66">
        <f t="shared" si="136"/>
        <v>0</v>
      </c>
      <c r="I670" s="67">
        <f t="shared" si="132"/>
        <v>130.19999999999999</v>
      </c>
      <c r="J670" s="66">
        <f t="shared" si="136"/>
        <v>0</v>
      </c>
      <c r="K670" s="67">
        <f t="shared" si="129"/>
        <v>130.19999999999999</v>
      </c>
      <c r="L670" s="66">
        <f t="shared" si="136"/>
        <v>0</v>
      </c>
      <c r="M670" s="67">
        <f t="shared" si="130"/>
        <v>130.19999999999999</v>
      </c>
      <c r="N670" s="66">
        <f t="shared" si="136"/>
        <v>0</v>
      </c>
      <c r="O670" s="67">
        <f t="shared" si="134"/>
        <v>130.19999999999999</v>
      </c>
    </row>
    <row r="671" spans="1:15" ht="49.5" x14ac:dyDescent="0.2">
      <c r="A671" s="64" t="str">
        <f ca="1">IF(ISERROR(MATCH(E671,Код_КЦСР,0)),"",INDIRECT(ADDRESS(MATCH(E671,Код_КЦСР,0)+1,2,,,"КЦСР")))</f>
        <v>Городские премии имени И.А. Милютина в области образования в соответствии с постановлением Череповецкой городской Думы от 23.09.2003 № 120</v>
      </c>
      <c r="B671" s="26">
        <v>805</v>
      </c>
      <c r="C671" s="65" t="s">
        <v>60</v>
      </c>
      <c r="D671" s="65" t="s">
        <v>70</v>
      </c>
      <c r="E671" s="26" t="s">
        <v>220</v>
      </c>
      <c r="F671" s="26"/>
      <c r="G671" s="66">
        <f t="shared" si="136"/>
        <v>130.19999999999999</v>
      </c>
      <c r="H671" s="66">
        <f t="shared" si="136"/>
        <v>0</v>
      </c>
      <c r="I671" s="67">
        <f t="shared" si="132"/>
        <v>130.19999999999999</v>
      </c>
      <c r="J671" s="66">
        <f t="shared" si="136"/>
        <v>0</v>
      </c>
      <c r="K671" s="67">
        <f t="shared" si="129"/>
        <v>130.19999999999999</v>
      </c>
      <c r="L671" s="66">
        <f t="shared" si="136"/>
        <v>0</v>
      </c>
      <c r="M671" s="67">
        <f t="shared" si="130"/>
        <v>130.19999999999999</v>
      </c>
      <c r="N671" s="66">
        <f t="shared" si="136"/>
        <v>0</v>
      </c>
      <c r="O671" s="67">
        <f t="shared" si="134"/>
        <v>130.19999999999999</v>
      </c>
    </row>
    <row r="672" spans="1:15" x14ac:dyDescent="0.2">
      <c r="A672" s="64" t="str">
        <f ca="1">IF(ISERROR(MATCH(F672,Код_КВР,0)),"",INDIRECT(ADDRESS(MATCH(F672,Код_КВР,0)+1,2,,,"КВР")))</f>
        <v>Социальное обеспечение и иные выплаты населению</v>
      </c>
      <c r="B672" s="26">
        <v>805</v>
      </c>
      <c r="C672" s="65" t="s">
        <v>60</v>
      </c>
      <c r="D672" s="65" t="s">
        <v>70</v>
      </c>
      <c r="E672" s="26" t="s">
        <v>220</v>
      </c>
      <c r="F672" s="26">
        <v>300</v>
      </c>
      <c r="G672" s="66">
        <f t="shared" si="136"/>
        <v>130.19999999999999</v>
      </c>
      <c r="H672" s="66">
        <f t="shared" si="136"/>
        <v>0</v>
      </c>
      <c r="I672" s="67">
        <f t="shared" si="132"/>
        <v>130.19999999999999</v>
      </c>
      <c r="J672" s="66">
        <f t="shared" si="136"/>
        <v>0</v>
      </c>
      <c r="K672" s="67">
        <f t="shared" si="129"/>
        <v>130.19999999999999</v>
      </c>
      <c r="L672" s="66">
        <f t="shared" si="136"/>
        <v>0</v>
      </c>
      <c r="M672" s="67">
        <f t="shared" si="130"/>
        <v>130.19999999999999</v>
      </c>
      <c r="N672" s="66">
        <f t="shared" si="136"/>
        <v>0</v>
      </c>
      <c r="O672" s="67">
        <f t="shared" si="134"/>
        <v>130.19999999999999</v>
      </c>
    </row>
    <row r="673" spans="1:15" x14ac:dyDescent="0.2">
      <c r="A673" s="64" t="str">
        <f ca="1">IF(ISERROR(MATCH(F673,Код_КВР,0)),"",INDIRECT(ADDRESS(MATCH(F673,Код_КВР,0)+1,2,,,"КВР")))</f>
        <v>Публичные нормативные выплаты гражданам несоциального характера</v>
      </c>
      <c r="B673" s="26">
        <v>805</v>
      </c>
      <c r="C673" s="65" t="s">
        <v>60</v>
      </c>
      <c r="D673" s="65" t="s">
        <v>70</v>
      </c>
      <c r="E673" s="26" t="s">
        <v>220</v>
      </c>
      <c r="F673" s="26">
        <v>330</v>
      </c>
      <c r="G673" s="66">
        <v>130.19999999999999</v>
      </c>
      <c r="H673" s="66"/>
      <c r="I673" s="67">
        <f t="shared" si="132"/>
        <v>130.19999999999999</v>
      </c>
      <c r="J673" s="66"/>
      <c r="K673" s="67">
        <f t="shared" si="129"/>
        <v>130.19999999999999</v>
      </c>
      <c r="L673" s="66"/>
      <c r="M673" s="67">
        <f t="shared" si="130"/>
        <v>130.19999999999999</v>
      </c>
      <c r="N673" s="66"/>
      <c r="O673" s="67">
        <f t="shared" si="134"/>
        <v>130.19999999999999</v>
      </c>
    </row>
    <row r="674" spans="1:15" ht="33" x14ac:dyDescent="0.2">
      <c r="A674" s="64" t="str">
        <f ca="1">IF(ISERROR(MATCH(E674,Код_КЦСР,0)),"",INDIRECT(ADDRESS(MATCH(E674,Код_КЦСР,0)+1,2,,,"КЦСР")))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674" s="26">
        <v>805</v>
      </c>
      <c r="C674" s="65" t="s">
        <v>60</v>
      </c>
      <c r="D674" s="65" t="s">
        <v>70</v>
      </c>
      <c r="E674" s="26" t="s">
        <v>231</v>
      </c>
      <c r="F674" s="26"/>
      <c r="G674" s="66">
        <f>G675+G679+G682</f>
        <v>13125.3</v>
      </c>
      <c r="H674" s="66">
        <f>H675+H679+H682</f>
        <v>0</v>
      </c>
      <c r="I674" s="67">
        <f t="shared" si="132"/>
        <v>13125.3</v>
      </c>
      <c r="J674" s="66">
        <f>J675+J679+J682</f>
        <v>-800</v>
      </c>
      <c r="K674" s="67">
        <f t="shared" si="129"/>
        <v>12325.3</v>
      </c>
      <c r="L674" s="66">
        <f>L675+L679+L682</f>
        <v>157.5</v>
      </c>
      <c r="M674" s="67">
        <f t="shared" si="130"/>
        <v>12482.8</v>
      </c>
      <c r="N674" s="66">
        <f>N675+N679+N682</f>
        <v>0</v>
      </c>
      <c r="O674" s="67">
        <f t="shared" si="134"/>
        <v>12482.8</v>
      </c>
    </row>
    <row r="675" spans="1:15" x14ac:dyDescent="0.2">
      <c r="A675" s="64" t="str">
        <f ca="1">IF(ISERROR(MATCH(E675,Код_КЦСР,0)),"",INDIRECT(ADDRESS(MATCH(E675,Код_КЦСР,0)+1,2,,,"КЦСР")))</f>
        <v>Текущие ремонты и работы по благоустройству территорий</v>
      </c>
      <c r="B675" s="26">
        <v>805</v>
      </c>
      <c r="C675" s="65" t="s">
        <v>60</v>
      </c>
      <c r="D675" s="65" t="s">
        <v>70</v>
      </c>
      <c r="E675" s="26" t="s">
        <v>439</v>
      </c>
      <c r="F675" s="26"/>
      <c r="G675" s="66">
        <f>G676</f>
        <v>4950</v>
      </c>
      <c r="H675" s="66">
        <f>H676</f>
        <v>0</v>
      </c>
      <c r="I675" s="67">
        <f t="shared" si="132"/>
        <v>4950</v>
      </c>
      <c r="J675" s="66">
        <f>J676</f>
        <v>-800</v>
      </c>
      <c r="K675" s="67">
        <f t="shared" si="129"/>
        <v>4150</v>
      </c>
      <c r="L675" s="66">
        <f>L676</f>
        <v>-486</v>
      </c>
      <c r="M675" s="67">
        <f t="shared" si="130"/>
        <v>3664</v>
      </c>
      <c r="N675" s="66">
        <f>N676</f>
        <v>0</v>
      </c>
      <c r="O675" s="67">
        <f t="shared" si="134"/>
        <v>3664</v>
      </c>
    </row>
    <row r="676" spans="1:15" ht="33" x14ac:dyDescent="0.2">
      <c r="A676" s="64" t="str">
        <f ca="1">IF(ISERROR(MATCH(F676,Код_КВР,0)),"",INDIRECT(ADDRESS(MATCH(F676,Код_КВР,0)+1,2,,,"КВР")))</f>
        <v>Предоставление субсидий бюджетным, автономным учреждениям и иным некоммерческим организациям</v>
      </c>
      <c r="B676" s="26">
        <v>805</v>
      </c>
      <c r="C676" s="65" t="s">
        <v>60</v>
      </c>
      <c r="D676" s="65" t="s">
        <v>70</v>
      </c>
      <c r="E676" s="26" t="s">
        <v>439</v>
      </c>
      <c r="F676" s="26">
        <v>600</v>
      </c>
      <c r="G676" s="66">
        <f>G677+G678</f>
        <v>4950</v>
      </c>
      <c r="H676" s="66">
        <f>H677+H678</f>
        <v>0</v>
      </c>
      <c r="I676" s="67">
        <f t="shared" si="132"/>
        <v>4950</v>
      </c>
      <c r="J676" s="66">
        <f>J677+J678</f>
        <v>-800</v>
      </c>
      <c r="K676" s="67">
        <f t="shared" si="129"/>
        <v>4150</v>
      </c>
      <c r="L676" s="66">
        <f>L677+L678</f>
        <v>-486</v>
      </c>
      <c r="M676" s="67">
        <f t="shared" si="130"/>
        <v>3664</v>
      </c>
      <c r="N676" s="66">
        <f>N677+N678</f>
        <v>0</v>
      </c>
      <c r="O676" s="67">
        <f t="shared" si="134"/>
        <v>3664</v>
      </c>
    </row>
    <row r="677" spans="1:15" x14ac:dyDescent="0.2">
      <c r="A677" s="64" t="str">
        <f ca="1">IF(ISERROR(MATCH(F677,Код_КВР,0)),"",INDIRECT(ADDRESS(MATCH(F677,Код_КВР,0)+1,2,,,"КВР")))</f>
        <v>Субсидии бюджетным учреждениям</v>
      </c>
      <c r="B677" s="26">
        <v>805</v>
      </c>
      <c r="C677" s="65" t="s">
        <v>60</v>
      </c>
      <c r="D677" s="65" t="s">
        <v>70</v>
      </c>
      <c r="E677" s="26" t="s">
        <v>439</v>
      </c>
      <c r="F677" s="26">
        <v>610</v>
      </c>
      <c r="G677" s="66">
        <v>4850</v>
      </c>
      <c r="H677" s="66"/>
      <c r="I677" s="67">
        <f t="shared" si="132"/>
        <v>4850</v>
      </c>
      <c r="J677" s="66">
        <v>-800</v>
      </c>
      <c r="K677" s="67">
        <f t="shared" si="129"/>
        <v>4050</v>
      </c>
      <c r="L677" s="66">
        <f>-449</f>
        <v>-449</v>
      </c>
      <c r="M677" s="67">
        <f t="shared" si="130"/>
        <v>3601</v>
      </c>
      <c r="N677" s="66"/>
      <c r="O677" s="67">
        <f t="shared" si="134"/>
        <v>3601</v>
      </c>
    </row>
    <row r="678" spans="1:15" x14ac:dyDescent="0.2">
      <c r="A678" s="64" t="str">
        <f ca="1">IF(ISERROR(MATCH(F678,Код_КВР,0)),"",INDIRECT(ADDRESS(MATCH(F678,Код_КВР,0)+1,2,,,"КВР")))</f>
        <v>Субсидии автономным учреждениям</v>
      </c>
      <c r="B678" s="26">
        <v>805</v>
      </c>
      <c r="C678" s="65" t="s">
        <v>60</v>
      </c>
      <c r="D678" s="65" t="s">
        <v>70</v>
      </c>
      <c r="E678" s="26" t="s">
        <v>439</v>
      </c>
      <c r="F678" s="26">
        <v>620</v>
      </c>
      <c r="G678" s="66">
        <v>100</v>
      </c>
      <c r="H678" s="66"/>
      <c r="I678" s="67">
        <f t="shared" si="132"/>
        <v>100</v>
      </c>
      <c r="J678" s="66"/>
      <c r="K678" s="67">
        <f t="shared" si="129"/>
        <v>100</v>
      </c>
      <c r="L678" s="66">
        <f>-37</f>
        <v>-37</v>
      </c>
      <c r="M678" s="67">
        <f t="shared" si="130"/>
        <v>63</v>
      </c>
      <c r="N678" s="66"/>
      <c r="O678" s="67">
        <f t="shared" si="134"/>
        <v>63</v>
      </c>
    </row>
    <row r="679" spans="1:15" ht="33" x14ac:dyDescent="0.2">
      <c r="A679" s="64" t="str">
        <f ca="1">IF(ISERROR(MATCH(E679,Код_КЦСР,0)),"",INDIRECT(ADDRESS(MATCH(E679,Код_КЦСР,0)+1,2,,,"КЦСР")))</f>
        <v>Оборудование, мебель, малые архитектурные формы для образовательных учреждений</v>
      </c>
      <c r="B679" s="26">
        <v>805</v>
      </c>
      <c r="C679" s="65" t="s">
        <v>60</v>
      </c>
      <c r="D679" s="65" t="s">
        <v>70</v>
      </c>
      <c r="E679" s="26" t="s">
        <v>441</v>
      </c>
      <c r="F679" s="26"/>
      <c r="G679" s="66">
        <f>G680</f>
        <v>4160.8999999999996</v>
      </c>
      <c r="H679" s="66">
        <f>H680</f>
        <v>0</v>
      </c>
      <c r="I679" s="67">
        <f t="shared" si="132"/>
        <v>4160.8999999999996</v>
      </c>
      <c r="J679" s="66">
        <f>J680</f>
        <v>0</v>
      </c>
      <c r="K679" s="67">
        <f t="shared" si="129"/>
        <v>4160.8999999999996</v>
      </c>
      <c r="L679" s="66">
        <f>L680</f>
        <v>0</v>
      </c>
      <c r="M679" s="67">
        <f t="shared" si="130"/>
        <v>4160.8999999999996</v>
      </c>
      <c r="N679" s="66">
        <f>N680</f>
        <v>0</v>
      </c>
      <c r="O679" s="67">
        <f t="shared" si="134"/>
        <v>4160.8999999999996</v>
      </c>
    </row>
    <row r="680" spans="1:15" ht="33" x14ac:dyDescent="0.2">
      <c r="A680" s="64" t="str">
        <f ca="1">IF(ISERROR(MATCH(F680,Код_КВР,0)),"",INDIRECT(ADDRESS(MATCH(F680,Код_КВР,0)+1,2,,,"КВР")))</f>
        <v>Предоставление субсидий бюджетным, автономным учреждениям и иным некоммерческим организациям</v>
      </c>
      <c r="B680" s="26">
        <v>805</v>
      </c>
      <c r="C680" s="65" t="s">
        <v>60</v>
      </c>
      <c r="D680" s="65" t="s">
        <v>70</v>
      </c>
      <c r="E680" s="26" t="s">
        <v>441</v>
      </c>
      <c r="F680" s="26">
        <v>600</v>
      </c>
      <c r="G680" s="66">
        <f>G681</f>
        <v>4160.8999999999996</v>
      </c>
      <c r="H680" s="66">
        <f>H681</f>
        <v>0</v>
      </c>
      <c r="I680" s="67">
        <f t="shared" si="132"/>
        <v>4160.8999999999996</v>
      </c>
      <c r="J680" s="66">
        <f>J681</f>
        <v>0</v>
      </c>
      <c r="K680" s="67">
        <f t="shared" si="129"/>
        <v>4160.8999999999996</v>
      </c>
      <c r="L680" s="66">
        <f>L681</f>
        <v>0</v>
      </c>
      <c r="M680" s="67">
        <f t="shared" si="130"/>
        <v>4160.8999999999996</v>
      </c>
      <c r="N680" s="66">
        <f>N681</f>
        <v>0</v>
      </c>
      <c r="O680" s="67">
        <f t="shared" si="134"/>
        <v>4160.8999999999996</v>
      </c>
    </row>
    <row r="681" spans="1:15" x14ac:dyDescent="0.2">
      <c r="A681" s="64" t="str">
        <f ca="1">IF(ISERROR(MATCH(F681,Код_КВР,0)),"",INDIRECT(ADDRESS(MATCH(F681,Код_КВР,0)+1,2,,,"КВР")))</f>
        <v>Субсидии бюджетным учреждениям</v>
      </c>
      <c r="B681" s="26">
        <v>805</v>
      </c>
      <c r="C681" s="65" t="s">
        <v>60</v>
      </c>
      <c r="D681" s="65" t="s">
        <v>70</v>
      </c>
      <c r="E681" s="26" t="s">
        <v>441</v>
      </c>
      <c r="F681" s="26">
        <v>610</v>
      </c>
      <c r="G681" s="66">
        <v>4160.8999999999996</v>
      </c>
      <c r="H681" s="66"/>
      <c r="I681" s="67">
        <f t="shared" si="132"/>
        <v>4160.8999999999996</v>
      </c>
      <c r="J681" s="66"/>
      <c r="K681" s="67">
        <f t="shared" si="129"/>
        <v>4160.8999999999996</v>
      </c>
      <c r="L681" s="66"/>
      <c r="M681" s="67">
        <f t="shared" si="130"/>
        <v>4160.8999999999996</v>
      </c>
      <c r="N681" s="66"/>
      <c r="O681" s="67">
        <f t="shared" si="134"/>
        <v>4160.8999999999996</v>
      </c>
    </row>
    <row r="682" spans="1:15" ht="49.5" customHeight="1" x14ac:dyDescent="0.2">
      <c r="A682" s="64" t="str">
        <f ca="1">IF(ISERROR(MATCH(E682,Код_КЦСР,0)),"",INDIRECT(ADDRESS(MATCH(E682,Код_КЦСР,0)+1,2,,,"КЦСР")))</f>
        <v>Открытие групп на базе функционирующих, строящихся дошкольных учреждений, открытие новых общеобразовательных учреждений</v>
      </c>
      <c r="B682" s="26">
        <v>805</v>
      </c>
      <c r="C682" s="65" t="s">
        <v>60</v>
      </c>
      <c r="D682" s="65" t="s">
        <v>70</v>
      </c>
      <c r="E682" s="26" t="s">
        <v>517</v>
      </c>
      <c r="F682" s="26"/>
      <c r="G682" s="66">
        <f>G683</f>
        <v>4014.4</v>
      </c>
      <c r="H682" s="66">
        <f>H683</f>
        <v>0</v>
      </c>
      <c r="I682" s="67">
        <f t="shared" si="132"/>
        <v>4014.4</v>
      </c>
      <c r="J682" s="66">
        <f>J683</f>
        <v>0</v>
      </c>
      <c r="K682" s="67">
        <f t="shared" si="129"/>
        <v>4014.4</v>
      </c>
      <c r="L682" s="66">
        <f>L683</f>
        <v>643.5</v>
      </c>
      <c r="M682" s="67">
        <f t="shared" si="130"/>
        <v>4657.8999999999996</v>
      </c>
      <c r="N682" s="66">
        <f>N683+N686</f>
        <v>0</v>
      </c>
      <c r="O682" s="67">
        <f t="shared" si="134"/>
        <v>4657.8999999999996</v>
      </c>
    </row>
    <row r="683" spans="1:15" ht="33" x14ac:dyDescent="0.2">
      <c r="A683" s="64" t="str">
        <f ca="1">IF(ISERROR(MATCH(F683,Код_КВР,0)),"",INDIRECT(ADDRESS(MATCH(F683,Код_КВР,0)+1,2,,,"КВР")))</f>
        <v>Предоставление субсидий бюджетным, автономным учреждениям и иным некоммерческим организациям</v>
      </c>
      <c r="B683" s="26">
        <v>805</v>
      </c>
      <c r="C683" s="65" t="s">
        <v>60</v>
      </c>
      <c r="D683" s="65" t="s">
        <v>518</v>
      </c>
      <c r="E683" s="65" t="s">
        <v>517</v>
      </c>
      <c r="F683" s="26">
        <v>600</v>
      </c>
      <c r="G683" s="66">
        <f>G684+G685</f>
        <v>4014.4</v>
      </c>
      <c r="H683" s="66">
        <f>H684+H685</f>
        <v>0</v>
      </c>
      <c r="I683" s="67">
        <f t="shared" si="132"/>
        <v>4014.4</v>
      </c>
      <c r="J683" s="66">
        <f>J684+J685</f>
        <v>0</v>
      </c>
      <c r="K683" s="67">
        <f t="shared" si="129"/>
        <v>4014.4</v>
      </c>
      <c r="L683" s="66">
        <f>L684+L685</f>
        <v>643.5</v>
      </c>
      <c r="M683" s="67">
        <f t="shared" si="130"/>
        <v>4657.8999999999996</v>
      </c>
      <c r="N683" s="66">
        <f>N684+N685</f>
        <v>-4657.8999999999996</v>
      </c>
      <c r="O683" s="67">
        <f t="shared" si="134"/>
        <v>0</v>
      </c>
    </row>
    <row r="684" spans="1:15" x14ac:dyDescent="0.2">
      <c r="A684" s="64" t="str">
        <f ca="1">IF(ISERROR(MATCH(F684,Код_КВР,0)),"",INDIRECT(ADDRESS(MATCH(F684,Код_КВР,0)+1,2,,,"КВР")))</f>
        <v>Субсидии бюджетным учреждениям</v>
      </c>
      <c r="B684" s="26">
        <v>805</v>
      </c>
      <c r="C684" s="65" t="s">
        <v>60</v>
      </c>
      <c r="D684" s="65" t="s">
        <v>518</v>
      </c>
      <c r="E684" s="65" t="s">
        <v>517</v>
      </c>
      <c r="F684" s="26">
        <v>610</v>
      </c>
      <c r="G684" s="66">
        <v>4014.4</v>
      </c>
      <c r="H684" s="66"/>
      <c r="I684" s="67">
        <f t="shared" si="132"/>
        <v>4014.4</v>
      </c>
      <c r="J684" s="66"/>
      <c r="K684" s="67">
        <f t="shared" si="129"/>
        <v>4014.4</v>
      </c>
      <c r="L684" s="66">
        <v>643.5</v>
      </c>
      <c r="M684" s="67">
        <f t="shared" si="130"/>
        <v>4657.8999999999996</v>
      </c>
      <c r="N684" s="66">
        <v>-4657.8999999999996</v>
      </c>
      <c r="O684" s="67">
        <f t="shared" si="134"/>
        <v>0</v>
      </c>
    </row>
    <row r="685" spans="1:15" x14ac:dyDescent="0.2">
      <c r="A685" s="64" t="str">
        <f ca="1">IF(ISERROR(MATCH(F685,Код_КВР,0)),"",INDIRECT(ADDRESS(MATCH(F685,Код_КВР,0)+1,2,,,"КВР")))</f>
        <v>Субсидии автономным учреждениям</v>
      </c>
      <c r="B685" s="26">
        <v>805</v>
      </c>
      <c r="C685" s="65" t="s">
        <v>60</v>
      </c>
      <c r="D685" s="65" t="s">
        <v>518</v>
      </c>
      <c r="E685" s="65" t="s">
        <v>517</v>
      </c>
      <c r="F685" s="26">
        <v>620</v>
      </c>
      <c r="G685" s="66"/>
      <c r="H685" s="66"/>
      <c r="I685" s="67">
        <f t="shared" si="132"/>
        <v>0</v>
      </c>
      <c r="J685" s="66"/>
      <c r="K685" s="67">
        <f t="shared" si="129"/>
        <v>0</v>
      </c>
      <c r="L685" s="66"/>
      <c r="M685" s="67">
        <f t="shared" si="130"/>
        <v>0</v>
      </c>
      <c r="N685" s="66"/>
      <c r="O685" s="67">
        <f t="shared" si="134"/>
        <v>0</v>
      </c>
    </row>
    <row r="686" spans="1:15" ht="58.5" customHeight="1" x14ac:dyDescent="0.2">
      <c r="A686" s="64" t="str">
        <f ca="1">IF(ISERROR(MATCH(E686,Код_КЦСР,0)),"",INDIRECT(ADDRESS(MATCH(E686,Код_КЦСР,0)+1,2,,,"КЦСР")))</f>
        <v>Открытие групп на базе функционирующих, строящихся дошкольных учреждений, открытие новых общеобразовательных учреждений, за счет средств городского бюджета</v>
      </c>
      <c r="B686" s="26">
        <v>805</v>
      </c>
      <c r="C686" s="65" t="s">
        <v>60</v>
      </c>
      <c r="D686" s="65" t="s">
        <v>70</v>
      </c>
      <c r="E686" s="26" t="s">
        <v>734</v>
      </c>
      <c r="F686" s="26"/>
      <c r="G686" s="66"/>
      <c r="H686" s="66"/>
      <c r="I686" s="67"/>
      <c r="J686" s="66"/>
      <c r="K686" s="67"/>
      <c r="L686" s="66"/>
      <c r="M686" s="67"/>
      <c r="N686" s="66">
        <f>N687</f>
        <v>4657.8999999999996</v>
      </c>
      <c r="O686" s="67">
        <f t="shared" si="134"/>
        <v>4657.8999999999996</v>
      </c>
    </row>
    <row r="687" spans="1:15" ht="44.25" customHeight="1" x14ac:dyDescent="0.2">
      <c r="A687" s="64" t="str">
        <f ca="1">IF(ISERROR(MATCH(F687,Код_КВР,0)),"",INDIRECT(ADDRESS(MATCH(F687,Код_КВР,0)+1,2,,,"КВР")))</f>
        <v>Предоставление субсидий бюджетным, автономным учреждениям и иным некоммерческим организациям</v>
      </c>
      <c r="B687" s="26">
        <v>805</v>
      </c>
      <c r="C687" s="65" t="s">
        <v>60</v>
      </c>
      <c r="D687" s="65" t="s">
        <v>518</v>
      </c>
      <c r="E687" s="26" t="s">
        <v>734</v>
      </c>
      <c r="F687" s="26">
        <v>600</v>
      </c>
      <c r="G687" s="66"/>
      <c r="H687" s="66"/>
      <c r="I687" s="67"/>
      <c r="J687" s="66"/>
      <c r="K687" s="67"/>
      <c r="L687" s="66"/>
      <c r="M687" s="67"/>
      <c r="N687" s="66">
        <f>N688</f>
        <v>4657.8999999999996</v>
      </c>
      <c r="O687" s="67">
        <f t="shared" si="134"/>
        <v>4657.8999999999996</v>
      </c>
    </row>
    <row r="688" spans="1:15" ht="31.5" customHeight="1" x14ac:dyDescent="0.2">
      <c r="A688" s="64" t="str">
        <f ca="1">IF(ISERROR(MATCH(F688,Код_КВР,0)),"",INDIRECT(ADDRESS(MATCH(F688,Код_КВР,0)+1,2,,,"КВР")))</f>
        <v>Субсидии бюджетным учреждениям</v>
      </c>
      <c r="B688" s="26">
        <v>805</v>
      </c>
      <c r="C688" s="65" t="s">
        <v>60</v>
      </c>
      <c r="D688" s="65" t="s">
        <v>518</v>
      </c>
      <c r="E688" s="26" t="s">
        <v>734</v>
      </c>
      <c r="F688" s="26">
        <v>610</v>
      </c>
      <c r="G688" s="66"/>
      <c r="H688" s="66"/>
      <c r="I688" s="67"/>
      <c r="J688" s="66"/>
      <c r="K688" s="67"/>
      <c r="L688" s="66"/>
      <c r="M688" s="67"/>
      <c r="N688" s="66">
        <v>4657.8999999999996</v>
      </c>
      <c r="O688" s="67">
        <f t="shared" si="134"/>
        <v>4657.8999999999996</v>
      </c>
    </row>
    <row r="689" spans="1:15" ht="33" x14ac:dyDescent="0.2">
      <c r="A689" s="64" t="str">
        <f ca="1">IF(ISERROR(MATCH(E689,Код_КЦСР,0)),"",INDIRECT(ADDRESS(MATCH(E689,Код_КЦСР,0)+1,2,,,"КЦСР")))</f>
        <v>Муниципальная программа «Охрана окружающей среды» на 2013 – 2022 годы</v>
      </c>
      <c r="B689" s="26">
        <v>805</v>
      </c>
      <c r="C689" s="65" t="s">
        <v>60</v>
      </c>
      <c r="D689" s="65" t="s">
        <v>70</v>
      </c>
      <c r="E689" s="26" t="s">
        <v>285</v>
      </c>
      <c r="F689" s="26"/>
      <c r="G689" s="66">
        <f t="shared" ref="G689:N691" si="137">G690</f>
        <v>12.9</v>
      </c>
      <c r="H689" s="66">
        <f t="shared" si="137"/>
        <v>0</v>
      </c>
      <c r="I689" s="67">
        <f t="shared" si="132"/>
        <v>12.9</v>
      </c>
      <c r="J689" s="66">
        <f t="shared" si="137"/>
        <v>0</v>
      </c>
      <c r="K689" s="67">
        <f t="shared" si="129"/>
        <v>12.9</v>
      </c>
      <c r="L689" s="66">
        <f t="shared" si="137"/>
        <v>0</v>
      </c>
      <c r="M689" s="67">
        <f t="shared" si="130"/>
        <v>12.9</v>
      </c>
      <c r="N689" s="66">
        <f t="shared" si="137"/>
        <v>0</v>
      </c>
      <c r="O689" s="67">
        <f t="shared" si="134"/>
        <v>12.9</v>
      </c>
    </row>
    <row r="690" spans="1:15" ht="33" x14ac:dyDescent="0.2">
      <c r="A690" s="64" t="str">
        <f ca="1">IF(ISERROR(MATCH(E690,Код_КЦСР,0)),"",INDIRECT(ADDRESS(MATCH(E690,Код_КЦСР,0)+1,2,,,"КЦСР")))</f>
        <v>Организация мероприятий по экологическому образованию и воспитанию населения</v>
      </c>
      <c r="B690" s="26">
        <v>805</v>
      </c>
      <c r="C690" s="65" t="s">
        <v>60</v>
      </c>
      <c r="D690" s="65" t="s">
        <v>70</v>
      </c>
      <c r="E690" s="26" t="s">
        <v>287</v>
      </c>
      <c r="F690" s="26"/>
      <c r="G690" s="66">
        <f t="shared" si="137"/>
        <v>12.9</v>
      </c>
      <c r="H690" s="66">
        <f t="shared" si="137"/>
        <v>0</v>
      </c>
      <c r="I690" s="67">
        <f t="shared" si="132"/>
        <v>12.9</v>
      </c>
      <c r="J690" s="66">
        <f t="shared" si="137"/>
        <v>0</v>
      </c>
      <c r="K690" s="67">
        <f t="shared" si="129"/>
        <v>12.9</v>
      </c>
      <c r="L690" s="66">
        <f t="shared" si="137"/>
        <v>0</v>
      </c>
      <c r="M690" s="67">
        <f t="shared" si="130"/>
        <v>12.9</v>
      </c>
      <c r="N690" s="66">
        <f t="shared" si="137"/>
        <v>0</v>
      </c>
      <c r="O690" s="67">
        <f t="shared" si="134"/>
        <v>12.9</v>
      </c>
    </row>
    <row r="691" spans="1:15" ht="33" x14ac:dyDescent="0.2">
      <c r="A691" s="64" t="str">
        <f ca="1">IF(ISERROR(MATCH(F691,Код_КВР,0)),"",INDIRECT(ADDRESS(MATCH(F691,Код_КВР,0)+1,2,,,"КВР")))</f>
        <v>Предоставление субсидий бюджетным, автономным учреждениям и иным некоммерческим организациям</v>
      </c>
      <c r="B691" s="26">
        <v>805</v>
      </c>
      <c r="C691" s="65" t="s">
        <v>60</v>
      </c>
      <c r="D691" s="65" t="s">
        <v>70</v>
      </c>
      <c r="E691" s="26" t="s">
        <v>287</v>
      </c>
      <c r="F691" s="26">
        <v>600</v>
      </c>
      <c r="G691" s="66">
        <f t="shared" si="137"/>
        <v>12.9</v>
      </c>
      <c r="H691" s="66">
        <f t="shared" si="137"/>
        <v>0</v>
      </c>
      <c r="I691" s="67">
        <f t="shared" si="132"/>
        <v>12.9</v>
      </c>
      <c r="J691" s="66">
        <f t="shared" si="137"/>
        <v>0</v>
      </c>
      <c r="K691" s="67">
        <f t="shared" si="129"/>
        <v>12.9</v>
      </c>
      <c r="L691" s="66">
        <f t="shared" si="137"/>
        <v>0</v>
      </c>
      <c r="M691" s="67">
        <f t="shared" si="130"/>
        <v>12.9</v>
      </c>
      <c r="N691" s="66">
        <f t="shared" si="137"/>
        <v>0</v>
      </c>
      <c r="O691" s="67">
        <f t="shared" si="134"/>
        <v>12.9</v>
      </c>
    </row>
    <row r="692" spans="1:15" x14ac:dyDescent="0.2">
      <c r="A692" s="64" t="str">
        <f ca="1">IF(ISERROR(MATCH(F692,Код_КВР,0)),"",INDIRECT(ADDRESS(MATCH(F692,Код_КВР,0)+1,2,,,"КВР")))</f>
        <v>Субсидии бюджетным учреждениям</v>
      </c>
      <c r="B692" s="26">
        <v>805</v>
      </c>
      <c r="C692" s="65" t="s">
        <v>60</v>
      </c>
      <c r="D692" s="65" t="s">
        <v>70</v>
      </c>
      <c r="E692" s="26" t="s">
        <v>287</v>
      </c>
      <c r="F692" s="26">
        <v>610</v>
      </c>
      <c r="G692" s="66">
        <v>12.9</v>
      </c>
      <c r="H692" s="66"/>
      <c r="I692" s="67">
        <f t="shared" si="132"/>
        <v>12.9</v>
      </c>
      <c r="J692" s="66"/>
      <c r="K692" s="67">
        <f t="shared" ref="K692:K755" si="138">I692+J692</f>
        <v>12.9</v>
      </c>
      <c r="L692" s="66"/>
      <c r="M692" s="67">
        <f t="shared" ref="M692:M755" si="139">K692+L692</f>
        <v>12.9</v>
      </c>
      <c r="N692" s="66"/>
      <c r="O692" s="67">
        <f t="shared" si="134"/>
        <v>12.9</v>
      </c>
    </row>
    <row r="693" spans="1:15" ht="33" x14ac:dyDescent="0.2">
      <c r="A693" s="64" t="str">
        <f ca="1">IF(ISERROR(MATCH(E693,Код_КЦСР,0)),"",INDIRECT(ADDRESS(MATCH(E693,Код_КЦСР,0)+1,2,,,"КЦСР")))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693" s="26">
        <v>805</v>
      </c>
      <c r="C693" s="65" t="s">
        <v>60</v>
      </c>
      <c r="D693" s="65" t="s">
        <v>70</v>
      </c>
      <c r="E693" s="26" t="s">
        <v>369</v>
      </c>
      <c r="F693" s="26"/>
      <c r="G693" s="66">
        <f>G694</f>
        <v>1000</v>
      </c>
      <c r="H693" s="66">
        <f>H694</f>
        <v>0</v>
      </c>
      <c r="I693" s="67">
        <f t="shared" si="132"/>
        <v>1000</v>
      </c>
      <c r="J693" s="66">
        <f>J694</f>
        <v>0</v>
      </c>
      <c r="K693" s="67">
        <f t="shared" si="138"/>
        <v>1000</v>
      </c>
      <c r="L693" s="66">
        <f>L694</f>
        <v>0</v>
      </c>
      <c r="M693" s="67">
        <f t="shared" si="139"/>
        <v>1000</v>
      </c>
      <c r="N693" s="66">
        <f>N694</f>
        <v>0</v>
      </c>
      <c r="O693" s="67">
        <f t="shared" si="134"/>
        <v>1000</v>
      </c>
    </row>
    <row r="694" spans="1:15" x14ac:dyDescent="0.2">
      <c r="A694" s="64" t="str">
        <f ca="1">IF(ISERROR(MATCH(E694,Код_КЦСР,0)),"",INDIRECT(ADDRESS(MATCH(E694,Код_КЦСР,0)+1,2,,,"КЦСР")))</f>
        <v>Обеспечение пожарной безопасности муниципальных учреждений города</v>
      </c>
      <c r="B694" s="26">
        <v>805</v>
      </c>
      <c r="C694" s="65" t="s">
        <v>60</v>
      </c>
      <c r="D694" s="65" t="s">
        <v>70</v>
      </c>
      <c r="E694" s="26" t="s">
        <v>370</v>
      </c>
      <c r="F694" s="26"/>
      <c r="G694" s="66">
        <f>G695+G699+G702+G705</f>
        <v>1000</v>
      </c>
      <c r="H694" s="66">
        <f>H695+H699+H702+H705</f>
        <v>0</v>
      </c>
      <c r="I694" s="67">
        <f t="shared" si="132"/>
        <v>1000</v>
      </c>
      <c r="J694" s="66">
        <f>J695+J699+J702+J705</f>
        <v>0</v>
      </c>
      <c r="K694" s="67">
        <f t="shared" si="138"/>
        <v>1000</v>
      </c>
      <c r="L694" s="66">
        <f>L695+L699+L702+L705</f>
        <v>0</v>
      </c>
      <c r="M694" s="67">
        <f t="shared" si="139"/>
        <v>1000</v>
      </c>
      <c r="N694" s="66">
        <f>N695+N699+N702+N705</f>
        <v>0</v>
      </c>
      <c r="O694" s="67">
        <f t="shared" si="134"/>
        <v>1000</v>
      </c>
    </row>
    <row r="695" spans="1:15" ht="33" x14ac:dyDescent="0.2">
      <c r="A695" s="64" t="str">
        <f ca="1">IF(ISERROR(MATCH(E695,Код_КЦСР,0)),"",INDIRECT(ADDRESS(MATCH(E695,Код_КЦСР,0)+1,2,,,"КЦСР")))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695" s="26">
        <v>805</v>
      </c>
      <c r="C695" s="65" t="s">
        <v>60</v>
      </c>
      <c r="D695" s="65" t="s">
        <v>70</v>
      </c>
      <c r="E695" s="26" t="s">
        <v>371</v>
      </c>
      <c r="F695" s="26"/>
      <c r="G695" s="66">
        <f>G696</f>
        <v>1000</v>
      </c>
      <c r="H695" s="66">
        <f>H696</f>
        <v>0</v>
      </c>
      <c r="I695" s="67">
        <f t="shared" si="132"/>
        <v>1000</v>
      </c>
      <c r="J695" s="66">
        <f>J696</f>
        <v>0</v>
      </c>
      <c r="K695" s="67">
        <f t="shared" si="138"/>
        <v>1000</v>
      </c>
      <c r="L695" s="66">
        <f>L696</f>
        <v>0</v>
      </c>
      <c r="M695" s="67">
        <f t="shared" si="139"/>
        <v>1000</v>
      </c>
      <c r="N695" s="66">
        <f>N696</f>
        <v>0</v>
      </c>
      <c r="O695" s="67">
        <f t="shared" si="134"/>
        <v>1000</v>
      </c>
    </row>
    <row r="696" spans="1:15" ht="33" x14ac:dyDescent="0.2">
      <c r="A696" s="64" t="str">
        <f ca="1">IF(ISERROR(MATCH(F696,Код_КВР,0)),"",INDIRECT(ADDRESS(MATCH(F696,Код_КВР,0)+1,2,,,"КВР")))</f>
        <v>Предоставление субсидий бюджетным, автономным учреждениям и иным некоммерческим организациям</v>
      </c>
      <c r="B696" s="26">
        <v>805</v>
      </c>
      <c r="C696" s="65" t="s">
        <v>60</v>
      </c>
      <c r="D696" s="65" t="s">
        <v>70</v>
      </c>
      <c r="E696" s="26" t="s">
        <v>371</v>
      </c>
      <c r="F696" s="26">
        <v>600</v>
      </c>
      <c r="G696" s="66">
        <f>G697+G698</f>
        <v>1000</v>
      </c>
      <c r="H696" s="66">
        <f>H697+H698</f>
        <v>0</v>
      </c>
      <c r="I696" s="67">
        <f t="shared" si="132"/>
        <v>1000</v>
      </c>
      <c r="J696" s="66">
        <f>J697+J698</f>
        <v>0</v>
      </c>
      <c r="K696" s="67">
        <f t="shared" si="138"/>
        <v>1000</v>
      </c>
      <c r="L696" s="66">
        <f>L697+L698</f>
        <v>0</v>
      </c>
      <c r="M696" s="67">
        <f t="shared" si="139"/>
        <v>1000</v>
      </c>
      <c r="N696" s="66">
        <f>N697+N698</f>
        <v>0</v>
      </c>
      <c r="O696" s="67">
        <f t="shared" si="134"/>
        <v>1000</v>
      </c>
    </row>
    <row r="697" spans="1:15" x14ac:dyDescent="0.2">
      <c r="A697" s="64" t="str">
        <f ca="1">IF(ISERROR(MATCH(F697,Код_КВР,0)),"",INDIRECT(ADDRESS(MATCH(F697,Код_КВР,0)+1,2,,,"КВР")))</f>
        <v>Субсидии бюджетным учреждениям</v>
      </c>
      <c r="B697" s="26">
        <v>805</v>
      </c>
      <c r="C697" s="65" t="s">
        <v>60</v>
      </c>
      <c r="D697" s="65" t="s">
        <v>70</v>
      </c>
      <c r="E697" s="26" t="s">
        <v>371</v>
      </c>
      <c r="F697" s="26">
        <v>610</v>
      </c>
      <c r="G697" s="66">
        <v>1000</v>
      </c>
      <c r="H697" s="66"/>
      <c r="I697" s="67">
        <f t="shared" si="132"/>
        <v>1000</v>
      </c>
      <c r="J697" s="66"/>
      <c r="K697" s="67">
        <f t="shared" si="138"/>
        <v>1000</v>
      </c>
      <c r="L697" s="66"/>
      <c r="M697" s="67">
        <f t="shared" si="139"/>
        <v>1000</v>
      </c>
      <c r="N697" s="66"/>
      <c r="O697" s="67">
        <f t="shared" si="134"/>
        <v>1000</v>
      </c>
    </row>
    <row r="698" spans="1:15" hidden="1" x14ac:dyDescent="0.2">
      <c r="A698" s="64" t="str">
        <f ca="1">IF(ISERROR(MATCH(F698,Код_КВР,0)),"",INDIRECT(ADDRESS(MATCH(F698,Код_КВР,0)+1,2,,,"КВР")))</f>
        <v>Субсидии автономным учреждениям</v>
      </c>
      <c r="B698" s="26">
        <v>805</v>
      </c>
      <c r="C698" s="65" t="s">
        <v>60</v>
      </c>
      <c r="D698" s="65" t="s">
        <v>70</v>
      </c>
      <c r="E698" s="26" t="s">
        <v>371</v>
      </c>
      <c r="F698" s="26">
        <v>620</v>
      </c>
      <c r="G698" s="66"/>
      <c r="H698" s="66"/>
      <c r="I698" s="67">
        <f t="shared" si="132"/>
        <v>0</v>
      </c>
      <c r="J698" s="66"/>
      <c r="K698" s="67">
        <f t="shared" si="138"/>
        <v>0</v>
      </c>
      <c r="L698" s="66"/>
      <c r="M698" s="67">
        <f t="shared" si="139"/>
        <v>0</v>
      </c>
      <c r="N698" s="66"/>
      <c r="O698" s="67">
        <f t="shared" si="134"/>
        <v>0</v>
      </c>
    </row>
    <row r="699" spans="1:15" hidden="1" x14ac:dyDescent="0.2">
      <c r="A699" s="64" t="str">
        <f ca="1">IF(ISERROR(MATCH(E699,Код_КЦСР,0)),"",INDIRECT(ADDRESS(MATCH(E699,Код_КЦСР,0)+1,2,,,"КЦСР")))</f>
        <v>Ремонт и оборудование эвакуационных путей зданий</v>
      </c>
      <c r="B699" s="26">
        <v>805</v>
      </c>
      <c r="C699" s="65" t="s">
        <v>60</v>
      </c>
      <c r="D699" s="65" t="s">
        <v>70</v>
      </c>
      <c r="E699" s="26" t="s">
        <v>372</v>
      </c>
      <c r="F699" s="26"/>
      <c r="G699" s="66">
        <f>G700</f>
        <v>0</v>
      </c>
      <c r="H699" s="66">
        <f>H700</f>
        <v>0</v>
      </c>
      <c r="I699" s="67">
        <f t="shared" si="132"/>
        <v>0</v>
      </c>
      <c r="J699" s="66">
        <f>J700</f>
        <v>0</v>
      </c>
      <c r="K699" s="67">
        <f t="shared" si="138"/>
        <v>0</v>
      </c>
      <c r="L699" s="66">
        <f>L700</f>
        <v>0</v>
      </c>
      <c r="M699" s="67">
        <f t="shared" si="139"/>
        <v>0</v>
      </c>
      <c r="N699" s="66">
        <f>N700</f>
        <v>0</v>
      </c>
      <c r="O699" s="67">
        <f t="shared" si="134"/>
        <v>0</v>
      </c>
    </row>
    <row r="700" spans="1:15" ht="33" hidden="1" x14ac:dyDescent="0.2">
      <c r="A700" s="64" t="str">
        <f ca="1">IF(ISERROR(MATCH(F700,Код_КВР,0)),"",INDIRECT(ADDRESS(MATCH(F700,Код_КВР,0)+1,2,,,"КВР")))</f>
        <v>Предоставление субсидий бюджетным, автономным учреждениям и иным некоммерческим организациям</v>
      </c>
      <c r="B700" s="26">
        <v>805</v>
      </c>
      <c r="C700" s="65" t="s">
        <v>60</v>
      </c>
      <c r="D700" s="65" t="s">
        <v>70</v>
      </c>
      <c r="E700" s="26" t="s">
        <v>372</v>
      </c>
      <c r="F700" s="26">
        <v>600</v>
      </c>
      <c r="G700" s="66">
        <f>G701</f>
        <v>0</v>
      </c>
      <c r="H700" s="66">
        <f>H701</f>
        <v>0</v>
      </c>
      <c r="I700" s="67">
        <f t="shared" si="132"/>
        <v>0</v>
      </c>
      <c r="J700" s="66">
        <f>J701</f>
        <v>0</v>
      </c>
      <c r="K700" s="67">
        <f t="shared" si="138"/>
        <v>0</v>
      </c>
      <c r="L700" s="66">
        <f>L701</f>
        <v>0</v>
      </c>
      <c r="M700" s="67">
        <f t="shared" si="139"/>
        <v>0</v>
      </c>
      <c r="N700" s="66">
        <f>N701</f>
        <v>0</v>
      </c>
      <c r="O700" s="67">
        <f t="shared" si="134"/>
        <v>0</v>
      </c>
    </row>
    <row r="701" spans="1:15" hidden="1" x14ac:dyDescent="0.2">
      <c r="A701" s="64" t="str">
        <f ca="1">IF(ISERROR(MATCH(F701,Код_КВР,0)),"",INDIRECT(ADDRESS(MATCH(F701,Код_КВР,0)+1,2,,,"КВР")))</f>
        <v>Субсидии бюджетным учреждениям</v>
      </c>
      <c r="B701" s="26">
        <v>805</v>
      </c>
      <c r="C701" s="65" t="s">
        <v>60</v>
      </c>
      <c r="D701" s="65" t="s">
        <v>70</v>
      </c>
      <c r="E701" s="26" t="s">
        <v>372</v>
      </c>
      <c r="F701" s="26">
        <v>610</v>
      </c>
      <c r="G701" s="66"/>
      <c r="H701" s="66"/>
      <c r="I701" s="67">
        <f t="shared" si="132"/>
        <v>0</v>
      </c>
      <c r="J701" s="66"/>
      <c r="K701" s="67">
        <f t="shared" si="138"/>
        <v>0</v>
      </c>
      <c r="L701" s="66"/>
      <c r="M701" s="67">
        <f t="shared" si="139"/>
        <v>0</v>
      </c>
      <c r="N701" s="66"/>
      <c r="O701" s="67">
        <f t="shared" si="134"/>
        <v>0</v>
      </c>
    </row>
    <row r="702" spans="1:15" hidden="1" x14ac:dyDescent="0.2">
      <c r="A702" s="64" t="str">
        <f ca="1">IF(ISERROR(MATCH(E702,Код_КЦСР,0)),"",INDIRECT(ADDRESS(MATCH(E702,Код_КЦСР,0)+1,2,,,"КЦСР")))</f>
        <v>Ремонт и испытание наружных пожарных лестниц</v>
      </c>
      <c r="B702" s="26">
        <v>805</v>
      </c>
      <c r="C702" s="65" t="s">
        <v>60</v>
      </c>
      <c r="D702" s="65" t="s">
        <v>70</v>
      </c>
      <c r="E702" s="26" t="s">
        <v>375</v>
      </c>
      <c r="F702" s="26"/>
      <c r="G702" s="66">
        <f>G703</f>
        <v>0</v>
      </c>
      <c r="H702" s="66">
        <f>H703</f>
        <v>0</v>
      </c>
      <c r="I702" s="67">
        <f t="shared" si="132"/>
        <v>0</v>
      </c>
      <c r="J702" s="66">
        <f>J703</f>
        <v>0</v>
      </c>
      <c r="K702" s="67">
        <f t="shared" si="138"/>
        <v>0</v>
      </c>
      <c r="L702" s="66">
        <f>L703</f>
        <v>0</v>
      </c>
      <c r="M702" s="67">
        <f t="shared" si="139"/>
        <v>0</v>
      </c>
      <c r="N702" s="66">
        <f>N703</f>
        <v>0</v>
      </c>
      <c r="O702" s="67">
        <f t="shared" si="134"/>
        <v>0</v>
      </c>
    </row>
    <row r="703" spans="1:15" ht="33" hidden="1" x14ac:dyDescent="0.2">
      <c r="A703" s="64" t="str">
        <f ca="1">IF(ISERROR(MATCH(F703,Код_КВР,0)),"",INDIRECT(ADDRESS(MATCH(F703,Код_КВР,0)+1,2,,,"КВР")))</f>
        <v>Предоставление субсидий бюджетным, автономным учреждениям и иным некоммерческим организациям</v>
      </c>
      <c r="B703" s="26">
        <v>805</v>
      </c>
      <c r="C703" s="65" t="s">
        <v>60</v>
      </c>
      <c r="D703" s="65" t="s">
        <v>70</v>
      </c>
      <c r="E703" s="26" t="s">
        <v>375</v>
      </c>
      <c r="F703" s="26">
        <v>600</v>
      </c>
      <c r="G703" s="66">
        <f>G704</f>
        <v>0</v>
      </c>
      <c r="H703" s="66">
        <f>H704</f>
        <v>0</v>
      </c>
      <c r="I703" s="67">
        <f t="shared" si="132"/>
        <v>0</v>
      </c>
      <c r="J703" s="66">
        <f>J704</f>
        <v>0</v>
      </c>
      <c r="K703" s="67">
        <f t="shared" si="138"/>
        <v>0</v>
      </c>
      <c r="L703" s="66">
        <f>L704</f>
        <v>0</v>
      </c>
      <c r="M703" s="67">
        <f t="shared" si="139"/>
        <v>0</v>
      </c>
      <c r="N703" s="66">
        <f>N704</f>
        <v>0</v>
      </c>
      <c r="O703" s="67">
        <f t="shared" si="134"/>
        <v>0</v>
      </c>
    </row>
    <row r="704" spans="1:15" hidden="1" x14ac:dyDescent="0.2">
      <c r="A704" s="64" t="str">
        <f ca="1">IF(ISERROR(MATCH(F704,Код_КВР,0)),"",INDIRECT(ADDRESS(MATCH(F704,Код_КВР,0)+1,2,,,"КВР")))</f>
        <v>Субсидии бюджетным учреждениям</v>
      </c>
      <c r="B704" s="26">
        <v>805</v>
      </c>
      <c r="C704" s="65" t="s">
        <v>60</v>
      </c>
      <c r="D704" s="65" t="s">
        <v>70</v>
      </c>
      <c r="E704" s="26" t="s">
        <v>375</v>
      </c>
      <c r="F704" s="26">
        <v>610</v>
      </c>
      <c r="G704" s="66"/>
      <c r="H704" s="66"/>
      <c r="I704" s="67">
        <f t="shared" si="132"/>
        <v>0</v>
      </c>
      <c r="J704" s="66"/>
      <c r="K704" s="67">
        <f t="shared" si="138"/>
        <v>0</v>
      </c>
      <c r="L704" s="66"/>
      <c r="M704" s="67">
        <f t="shared" si="139"/>
        <v>0</v>
      </c>
      <c r="N704" s="66"/>
      <c r="O704" s="67">
        <f t="shared" si="134"/>
        <v>0</v>
      </c>
    </row>
    <row r="705" spans="1:15" ht="33" hidden="1" x14ac:dyDescent="0.2">
      <c r="A705" s="64" t="str">
        <f ca="1">IF(ISERROR(MATCH(E705,Код_КЦСР,0)),"",INDIRECT(ADDRESS(MATCH(E705,Код_КЦСР,0)+1,2,,,"КЦСР")))</f>
        <v>Огнезащитная обработка деревянных и металлических конструкций зданий, декорации и одежды сцены. Проведение экспертизы</v>
      </c>
      <c r="B705" s="26">
        <v>805</v>
      </c>
      <c r="C705" s="65" t="s">
        <v>60</v>
      </c>
      <c r="D705" s="65" t="s">
        <v>70</v>
      </c>
      <c r="E705" s="26" t="s">
        <v>376</v>
      </c>
      <c r="F705" s="26"/>
      <c r="G705" s="66">
        <f>G706</f>
        <v>0</v>
      </c>
      <c r="H705" s="66">
        <f>H706</f>
        <v>0</v>
      </c>
      <c r="I705" s="67">
        <f t="shared" si="132"/>
        <v>0</v>
      </c>
      <c r="J705" s="66">
        <f>J706</f>
        <v>0</v>
      </c>
      <c r="K705" s="67">
        <f t="shared" si="138"/>
        <v>0</v>
      </c>
      <c r="L705" s="66">
        <f>L706</f>
        <v>0</v>
      </c>
      <c r="M705" s="67">
        <f t="shared" si="139"/>
        <v>0</v>
      </c>
      <c r="N705" s="66">
        <f>N706</f>
        <v>0</v>
      </c>
      <c r="O705" s="67">
        <f t="shared" si="134"/>
        <v>0</v>
      </c>
    </row>
    <row r="706" spans="1:15" ht="33" hidden="1" x14ac:dyDescent="0.2">
      <c r="A706" s="64" t="str">
        <f ca="1">IF(ISERROR(MATCH(F706,Код_КВР,0)),"",INDIRECT(ADDRESS(MATCH(F706,Код_КВР,0)+1,2,,,"КВР")))</f>
        <v>Предоставление субсидий бюджетным, автономным учреждениям и иным некоммерческим организациям</v>
      </c>
      <c r="B706" s="26">
        <v>805</v>
      </c>
      <c r="C706" s="65" t="s">
        <v>60</v>
      </c>
      <c r="D706" s="65" t="s">
        <v>70</v>
      </c>
      <c r="E706" s="26" t="s">
        <v>376</v>
      </c>
      <c r="F706" s="26">
        <v>600</v>
      </c>
      <c r="G706" s="66">
        <f>G707</f>
        <v>0</v>
      </c>
      <c r="H706" s="66">
        <f>H707</f>
        <v>0</v>
      </c>
      <c r="I706" s="67">
        <f t="shared" si="132"/>
        <v>0</v>
      </c>
      <c r="J706" s="66">
        <f>J707</f>
        <v>0</v>
      </c>
      <c r="K706" s="67">
        <f t="shared" si="138"/>
        <v>0</v>
      </c>
      <c r="L706" s="66">
        <f>L707</f>
        <v>0</v>
      </c>
      <c r="M706" s="67">
        <f t="shared" si="139"/>
        <v>0</v>
      </c>
      <c r="N706" s="66">
        <f>N707</f>
        <v>0</v>
      </c>
      <c r="O706" s="67">
        <f t="shared" si="134"/>
        <v>0</v>
      </c>
    </row>
    <row r="707" spans="1:15" hidden="1" x14ac:dyDescent="0.2">
      <c r="A707" s="64" t="str">
        <f ca="1">IF(ISERROR(MATCH(F707,Код_КВР,0)),"",INDIRECT(ADDRESS(MATCH(F707,Код_КВР,0)+1,2,,,"КВР")))</f>
        <v>Субсидии бюджетным учреждениям</v>
      </c>
      <c r="B707" s="26">
        <v>805</v>
      </c>
      <c r="C707" s="65" t="s">
        <v>60</v>
      </c>
      <c r="D707" s="65" t="s">
        <v>70</v>
      </c>
      <c r="E707" s="26" t="s">
        <v>376</v>
      </c>
      <c r="F707" s="26">
        <v>610</v>
      </c>
      <c r="G707" s="66"/>
      <c r="H707" s="66"/>
      <c r="I707" s="67">
        <f t="shared" si="132"/>
        <v>0</v>
      </c>
      <c r="J707" s="66"/>
      <c r="K707" s="67">
        <f t="shared" si="138"/>
        <v>0</v>
      </c>
      <c r="L707" s="66"/>
      <c r="M707" s="67">
        <f t="shared" si="139"/>
        <v>0</v>
      </c>
      <c r="N707" s="66"/>
      <c r="O707" s="67">
        <f t="shared" si="134"/>
        <v>0</v>
      </c>
    </row>
    <row r="708" spans="1:15" x14ac:dyDescent="0.2">
      <c r="A708" s="74" t="s">
        <v>102</v>
      </c>
      <c r="B708" s="26">
        <v>805</v>
      </c>
      <c r="C708" s="65" t="s">
        <v>60</v>
      </c>
      <c r="D708" s="65" t="s">
        <v>71</v>
      </c>
      <c r="E708" s="26"/>
      <c r="F708" s="26"/>
      <c r="G708" s="66">
        <f>G709+G770+G774</f>
        <v>1492938.4999999995</v>
      </c>
      <c r="H708" s="66">
        <f>H709+H770+H774</f>
        <v>0</v>
      </c>
      <c r="I708" s="67">
        <f t="shared" si="132"/>
        <v>1492938.4999999995</v>
      </c>
      <c r="J708" s="66">
        <f>J709+J770+J774+J788</f>
        <v>165.4</v>
      </c>
      <c r="K708" s="67">
        <f t="shared" si="138"/>
        <v>1493103.8999999994</v>
      </c>
      <c r="L708" s="66">
        <f>L709+L770+L774+L788</f>
        <v>-89</v>
      </c>
      <c r="M708" s="67">
        <f t="shared" si="139"/>
        <v>1493014.8999999994</v>
      </c>
      <c r="N708" s="66">
        <f>N709+N770+N774+N788</f>
        <v>139646</v>
      </c>
      <c r="O708" s="67">
        <f t="shared" si="134"/>
        <v>1632660.8999999994</v>
      </c>
    </row>
    <row r="709" spans="1:15" x14ac:dyDescent="0.2">
      <c r="A709" s="64" t="str">
        <f ca="1">IF(ISERROR(MATCH(E709,Код_КЦСР,0)),"",INDIRECT(ADDRESS(MATCH(E709,Код_КЦСР,0)+1,2,,,"КЦСР")))</f>
        <v>Муниципальная программа «Развитие образования» на 2013 – 2022 годы</v>
      </c>
      <c r="B709" s="26">
        <v>805</v>
      </c>
      <c r="C709" s="65" t="s">
        <v>60</v>
      </c>
      <c r="D709" s="65" t="s">
        <v>71</v>
      </c>
      <c r="E709" s="26" t="s">
        <v>199</v>
      </c>
      <c r="F709" s="26"/>
      <c r="G709" s="66">
        <f>G710+G719+G742+G753</f>
        <v>1492285.5999999996</v>
      </c>
      <c r="H709" s="66">
        <f>H710+H719+H742+H753</f>
        <v>0</v>
      </c>
      <c r="I709" s="67">
        <f t="shared" si="132"/>
        <v>1492285.5999999996</v>
      </c>
      <c r="J709" s="66">
        <f>J710+J719+J742+J753</f>
        <v>-0.1</v>
      </c>
      <c r="K709" s="67">
        <f t="shared" si="138"/>
        <v>1492285.4999999995</v>
      </c>
      <c r="L709" s="66">
        <f>L710+L719+L742+L753</f>
        <v>-89</v>
      </c>
      <c r="M709" s="67">
        <f t="shared" si="139"/>
        <v>1492196.4999999995</v>
      </c>
      <c r="N709" s="66">
        <f>N710+N719+N742+N753</f>
        <v>139646</v>
      </c>
      <c r="O709" s="67">
        <f t="shared" si="134"/>
        <v>1631842.4999999995</v>
      </c>
    </row>
    <row r="710" spans="1:15" x14ac:dyDescent="0.2">
      <c r="A710" s="64" t="str">
        <f ca="1">IF(ISERROR(MATCH(E710,Код_КЦСР,0)),"",INDIRECT(ADDRESS(MATCH(E710,Код_КЦСР,0)+1,2,,,"КЦСР")))</f>
        <v>Обеспечение питанием обучающихся в МОУ</v>
      </c>
      <c r="B710" s="26">
        <v>805</v>
      </c>
      <c r="C710" s="65" t="s">
        <v>60</v>
      </c>
      <c r="D710" s="65" t="s">
        <v>71</v>
      </c>
      <c r="E710" s="26" t="s">
        <v>193</v>
      </c>
      <c r="F710" s="26"/>
      <c r="G710" s="66">
        <f>G711+G715</f>
        <v>40055.800000000003</v>
      </c>
      <c r="H710" s="66">
        <f>H711+H715</f>
        <v>0</v>
      </c>
      <c r="I710" s="67">
        <f t="shared" si="132"/>
        <v>40055.800000000003</v>
      </c>
      <c r="J710" s="66">
        <f>J711+J715</f>
        <v>0</v>
      </c>
      <c r="K710" s="67">
        <f t="shared" si="138"/>
        <v>40055.800000000003</v>
      </c>
      <c r="L710" s="66">
        <f>L711+L715</f>
        <v>0</v>
      </c>
      <c r="M710" s="67">
        <f t="shared" si="139"/>
        <v>40055.800000000003</v>
      </c>
      <c r="N710" s="66">
        <f>N711+N715</f>
        <v>0</v>
      </c>
      <c r="O710" s="67">
        <f t="shared" si="134"/>
        <v>40055.800000000003</v>
      </c>
    </row>
    <row r="711" spans="1:15" ht="33" x14ac:dyDescent="0.2">
      <c r="A711" s="64" t="str">
        <f ca="1">IF(ISERROR(MATCH(E711,Код_КЦСР,0)),"",INDIRECT(ADDRESS(MATCH(E711,Код_КЦСР,0)+1,2,,,"КЦСР")))</f>
        <v>Обеспечение питанием обучающихся в МОУ, за счет средств городского бюджета</v>
      </c>
      <c r="B711" s="26">
        <v>805</v>
      </c>
      <c r="C711" s="65" t="s">
        <v>60</v>
      </c>
      <c r="D711" s="65" t="s">
        <v>71</v>
      </c>
      <c r="E711" s="26" t="s">
        <v>191</v>
      </c>
      <c r="F711" s="26"/>
      <c r="G711" s="66">
        <f>G712</f>
        <v>6921.4</v>
      </c>
      <c r="H711" s="66">
        <f>H712</f>
        <v>0</v>
      </c>
      <c r="I711" s="67">
        <f t="shared" si="132"/>
        <v>6921.4</v>
      </c>
      <c r="J711" s="66">
        <f>J712</f>
        <v>0</v>
      </c>
      <c r="K711" s="67">
        <f t="shared" si="138"/>
        <v>6921.4</v>
      </c>
      <c r="L711" s="66">
        <f>L712</f>
        <v>0</v>
      </c>
      <c r="M711" s="67">
        <f t="shared" si="139"/>
        <v>6921.4</v>
      </c>
      <c r="N711" s="66">
        <f>N712</f>
        <v>0</v>
      </c>
      <c r="O711" s="67">
        <f t="shared" si="134"/>
        <v>6921.4</v>
      </c>
    </row>
    <row r="712" spans="1:15" ht="33" x14ac:dyDescent="0.2">
      <c r="A712" s="64" t="str">
        <f ca="1">IF(ISERROR(MATCH(F712,Код_КВР,0)),"",INDIRECT(ADDRESS(MATCH(F712,Код_КВР,0)+1,2,,,"КВР")))</f>
        <v>Предоставление субсидий бюджетным, автономным учреждениям и иным некоммерческим организациям</v>
      </c>
      <c r="B712" s="26">
        <v>805</v>
      </c>
      <c r="C712" s="65" t="s">
        <v>60</v>
      </c>
      <c r="D712" s="65" t="s">
        <v>71</v>
      </c>
      <c r="E712" s="26" t="s">
        <v>191</v>
      </c>
      <c r="F712" s="26">
        <v>600</v>
      </c>
      <c r="G712" s="66">
        <f>G713+G714</f>
        <v>6921.4</v>
      </c>
      <c r="H712" s="66">
        <f>H713+H714</f>
        <v>0</v>
      </c>
      <c r="I712" s="67">
        <f t="shared" si="132"/>
        <v>6921.4</v>
      </c>
      <c r="J712" s="66">
        <f>J713+J714</f>
        <v>0</v>
      </c>
      <c r="K712" s="67">
        <f t="shared" si="138"/>
        <v>6921.4</v>
      </c>
      <c r="L712" s="66">
        <f>L713+L714</f>
        <v>0</v>
      </c>
      <c r="M712" s="67">
        <f t="shared" si="139"/>
        <v>6921.4</v>
      </c>
      <c r="N712" s="66">
        <f>N713+N714</f>
        <v>0</v>
      </c>
      <c r="O712" s="67">
        <f t="shared" si="134"/>
        <v>6921.4</v>
      </c>
    </row>
    <row r="713" spans="1:15" x14ac:dyDescent="0.2">
      <c r="A713" s="64" t="str">
        <f ca="1">IF(ISERROR(MATCH(F713,Код_КВР,0)),"",INDIRECT(ADDRESS(MATCH(F713,Код_КВР,0)+1,2,,,"КВР")))</f>
        <v>Субсидии бюджетным учреждениям</v>
      </c>
      <c r="B713" s="26">
        <v>805</v>
      </c>
      <c r="C713" s="65" t="s">
        <v>60</v>
      </c>
      <c r="D713" s="65" t="s">
        <v>71</v>
      </c>
      <c r="E713" s="26" t="s">
        <v>191</v>
      </c>
      <c r="F713" s="26">
        <v>610</v>
      </c>
      <c r="G713" s="66">
        <v>6795.2</v>
      </c>
      <c r="H713" s="66"/>
      <c r="I713" s="67">
        <f t="shared" si="132"/>
        <v>6795.2</v>
      </c>
      <c r="J713" s="66"/>
      <c r="K713" s="67">
        <f t="shared" si="138"/>
        <v>6795.2</v>
      </c>
      <c r="L713" s="66">
        <f>-4.9</f>
        <v>-4.9000000000000004</v>
      </c>
      <c r="M713" s="67">
        <f t="shared" si="139"/>
        <v>6790.3</v>
      </c>
      <c r="N713" s="66"/>
      <c r="O713" s="67">
        <f t="shared" si="134"/>
        <v>6790.3</v>
      </c>
    </row>
    <row r="714" spans="1:15" x14ac:dyDescent="0.2">
      <c r="A714" s="64" t="str">
        <f ca="1">IF(ISERROR(MATCH(F714,Код_КВР,0)),"",INDIRECT(ADDRESS(MATCH(F714,Код_КВР,0)+1,2,,,"КВР")))</f>
        <v>Субсидии автономным учреждениям</v>
      </c>
      <c r="B714" s="26">
        <v>805</v>
      </c>
      <c r="C714" s="65" t="s">
        <v>60</v>
      </c>
      <c r="D714" s="65" t="s">
        <v>71</v>
      </c>
      <c r="E714" s="26" t="s">
        <v>191</v>
      </c>
      <c r="F714" s="26">
        <v>620</v>
      </c>
      <c r="G714" s="66">
        <v>126.2</v>
      </c>
      <c r="H714" s="66"/>
      <c r="I714" s="67">
        <f t="shared" si="132"/>
        <v>126.2</v>
      </c>
      <c r="J714" s="66"/>
      <c r="K714" s="67">
        <f t="shared" si="138"/>
        <v>126.2</v>
      </c>
      <c r="L714" s="66">
        <f>4.9</f>
        <v>4.9000000000000004</v>
      </c>
      <c r="M714" s="67">
        <f t="shared" si="139"/>
        <v>131.1</v>
      </c>
      <c r="N714" s="66"/>
      <c r="O714" s="67">
        <f t="shared" si="134"/>
        <v>131.1</v>
      </c>
    </row>
    <row r="715" spans="1:15" ht="33" x14ac:dyDescent="0.2">
      <c r="A715" s="64" t="str">
        <f ca="1">IF(ISERROR(MATCH(E715,Код_КЦСР,0)),"",INDIRECT(ADDRESS(MATCH(E715,Код_КЦСР,0)+1,2,,,"КЦСР")))</f>
        <v>Обеспечение питанием обучающихся в МОУ, за счет средств областного бюджета</v>
      </c>
      <c r="B715" s="26">
        <v>805</v>
      </c>
      <c r="C715" s="65" t="s">
        <v>60</v>
      </c>
      <c r="D715" s="65" t="s">
        <v>71</v>
      </c>
      <c r="E715" s="26" t="s">
        <v>192</v>
      </c>
      <c r="F715" s="26"/>
      <c r="G715" s="66">
        <f>G716</f>
        <v>33134.400000000001</v>
      </c>
      <c r="H715" s="66">
        <f>H716</f>
        <v>0</v>
      </c>
      <c r="I715" s="67">
        <f t="shared" si="132"/>
        <v>33134.400000000001</v>
      </c>
      <c r="J715" s="66">
        <f>J716</f>
        <v>0</v>
      </c>
      <c r="K715" s="67">
        <f t="shared" si="138"/>
        <v>33134.400000000001</v>
      </c>
      <c r="L715" s="66">
        <f>L716</f>
        <v>0</v>
      </c>
      <c r="M715" s="67">
        <f t="shared" si="139"/>
        <v>33134.400000000001</v>
      </c>
      <c r="N715" s="66">
        <f>N716</f>
        <v>0</v>
      </c>
      <c r="O715" s="67">
        <f t="shared" si="134"/>
        <v>33134.400000000001</v>
      </c>
    </row>
    <row r="716" spans="1:15" ht="33" x14ac:dyDescent="0.2">
      <c r="A716" s="64" t="str">
        <f ca="1">IF(ISERROR(MATCH(F716,Код_КВР,0)),"",INDIRECT(ADDRESS(MATCH(F716,Код_КВР,0)+1,2,,,"КВР")))</f>
        <v>Предоставление субсидий бюджетным, автономным учреждениям и иным некоммерческим организациям</v>
      </c>
      <c r="B716" s="26">
        <v>805</v>
      </c>
      <c r="C716" s="65" t="s">
        <v>60</v>
      </c>
      <c r="D716" s="65" t="s">
        <v>71</v>
      </c>
      <c r="E716" s="26" t="s">
        <v>192</v>
      </c>
      <c r="F716" s="26">
        <v>600</v>
      </c>
      <c r="G716" s="66">
        <f>G717+G718</f>
        <v>33134.400000000001</v>
      </c>
      <c r="H716" s="66">
        <f>H717+H718</f>
        <v>0</v>
      </c>
      <c r="I716" s="67">
        <f t="shared" ref="I716:I798" si="140">G716+H716</f>
        <v>33134.400000000001</v>
      </c>
      <c r="J716" s="66">
        <f>J717+J718</f>
        <v>0</v>
      </c>
      <c r="K716" s="67">
        <f t="shared" si="138"/>
        <v>33134.400000000001</v>
      </c>
      <c r="L716" s="66">
        <f>L717+L718</f>
        <v>0</v>
      </c>
      <c r="M716" s="67">
        <f t="shared" si="139"/>
        <v>33134.400000000001</v>
      </c>
      <c r="N716" s="66">
        <f>N717+N718</f>
        <v>0</v>
      </c>
      <c r="O716" s="67">
        <f t="shared" si="134"/>
        <v>33134.400000000001</v>
      </c>
    </row>
    <row r="717" spans="1:15" x14ac:dyDescent="0.2">
      <c r="A717" s="64" t="str">
        <f ca="1">IF(ISERROR(MATCH(F717,Код_КВР,0)),"",INDIRECT(ADDRESS(MATCH(F717,Код_КВР,0)+1,2,,,"КВР")))</f>
        <v>Субсидии бюджетным учреждениям</v>
      </c>
      <c r="B717" s="26">
        <v>805</v>
      </c>
      <c r="C717" s="65" t="s">
        <v>60</v>
      </c>
      <c r="D717" s="65" t="s">
        <v>71</v>
      </c>
      <c r="E717" s="26" t="s">
        <v>192</v>
      </c>
      <c r="F717" s="26">
        <v>610</v>
      </c>
      <c r="G717" s="66">
        <f>32682.4</f>
        <v>32682.400000000001</v>
      </c>
      <c r="H717" s="66"/>
      <c r="I717" s="67">
        <f t="shared" si="140"/>
        <v>32682.400000000001</v>
      </c>
      <c r="J717" s="66"/>
      <c r="K717" s="67">
        <f t="shared" si="138"/>
        <v>32682.400000000001</v>
      </c>
      <c r="L717" s="66">
        <v>-17.899999999999999</v>
      </c>
      <c r="M717" s="67">
        <f t="shared" si="139"/>
        <v>32664.5</v>
      </c>
      <c r="N717" s="66"/>
      <c r="O717" s="67">
        <f t="shared" si="134"/>
        <v>32664.5</v>
      </c>
    </row>
    <row r="718" spans="1:15" x14ac:dyDescent="0.2">
      <c r="A718" s="64" t="str">
        <f ca="1">IF(ISERROR(MATCH(F718,Код_КВР,0)),"",INDIRECT(ADDRESS(MATCH(F718,Код_КВР,0)+1,2,,,"КВР")))</f>
        <v>Субсидии автономным учреждениям</v>
      </c>
      <c r="B718" s="26">
        <v>805</v>
      </c>
      <c r="C718" s="65" t="s">
        <v>60</v>
      </c>
      <c r="D718" s="65" t="s">
        <v>71</v>
      </c>
      <c r="E718" s="26" t="s">
        <v>192</v>
      </c>
      <c r="F718" s="26">
        <v>620</v>
      </c>
      <c r="G718" s="66">
        <v>452</v>
      </c>
      <c r="H718" s="66"/>
      <c r="I718" s="67">
        <f t="shared" si="140"/>
        <v>452</v>
      </c>
      <c r="J718" s="66"/>
      <c r="K718" s="67">
        <f t="shared" si="138"/>
        <v>452</v>
      </c>
      <c r="L718" s="66">
        <v>17.899999999999999</v>
      </c>
      <c r="M718" s="67">
        <f t="shared" si="139"/>
        <v>469.9</v>
      </c>
      <c r="N718" s="66"/>
      <c r="O718" s="67">
        <f t="shared" si="134"/>
        <v>469.9</v>
      </c>
    </row>
    <row r="719" spans="1:15" x14ac:dyDescent="0.2">
      <c r="A719" s="64" t="str">
        <f ca="1">IF(ISERROR(MATCH(E719,Код_КЦСР,0)),"",INDIRECT(ADDRESS(MATCH(E719,Код_КЦСР,0)+1,2,,,"КЦСР")))</f>
        <v>Общее образование</v>
      </c>
      <c r="B719" s="26">
        <v>805</v>
      </c>
      <c r="C719" s="65" t="s">
        <v>60</v>
      </c>
      <c r="D719" s="65" t="s">
        <v>71</v>
      </c>
      <c r="E719" s="26" t="s">
        <v>204</v>
      </c>
      <c r="F719" s="26"/>
      <c r="G719" s="66">
        <f>G720+G729+G733+G738</f>
        <v>1446485.6999999997</v>
      </c>
      <c r="H719" s="66">
        <f>H720+H729+H733+H738</f>
        <v>0</v>
      </c>
      <c r="I719" s="67">
        <f t="shared" si="140"/>
        <v>1446485.6999999997</v>
      </c>
      <c r="J719" s="66">
        <f>J720+J729+J733+J738</f>
        <v>-0.1</v>
      </c>
      <c r="K719" s="67">
        <f t="shared" si="138"/>
        <v>1446485.5999999996</v>
      </c>
      <c r="L719" s="66">
        <f>L720+L729+L733+L738</f>
        <v>-709</v>
      </c>
      <c r="M719" s="67">
        <f t="shared" si="139"/>
        <v>1445776.5999999996</v>
      </c>
      <c r="N719" s="66">
        <f>N720+N729+N733+N738</f>
        <v>-354</v>
      </c>
      <c r="O719" s="67">
        <f t="shared" si="134"/>
        <v>1445422.5999999996</v>
      </c>
    </row>
    <row r="720" spans="1:15" ht="49.5" x14ac:dyDescent="0.2">
      <c r="A720" s="64" t="str">
        <f ca="1">IF(ISERROR(MATCH(E720,Код_КЦСР,0)),"",INDIRECT(ADDRESS(MATCH(E720,Код_КЦСР,0)+1,2,,,"КЦСР")))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v>
      </c>
      <c r="B720" s="26">
        <v>805</v>
      </c>
      <c r="C720" s="65" t="s">
        <v>60</v>
      </c>
      <c r="D720" s="65" t="s">
        <v>71</v>
      </c>
      <c r="E720" s="26" t="s">
        <v>205</v>
      </c>
      <c r="F720" s="26"/>
      <c r="G720" s="66">
        <f>G721+G725</f>
        <v>1431023.6999999997</v>
      </c>
      <c r="H720" s="66">
        <f>H721+H725</f>
        <v>0</v>
      </c>
      <c r="I720" s="67">
        <f t="shared" si="140"/>
        <v>1431023.6999999997</v>
      </c>
      <c r="J720" s="66">
        <f>J721+J725</f>
        <v>-0.1</v>
      </c>
      <c r="K720" s="67">
        <f t="shared" si="138"/>
        <v>1431023.5999999996</v>
      </c>
      <c r="L720" s="66">
        <f>L721+L725</f>
        <v>-709</v>
      </c>
      <c r="M720" s="67">
        <f t="shared" si="139"/>
        <v>1430314.5999999996</v>
      </c>
      <c r="N720" s="66">
        <f>N721+N725</f>
        <v>-354</v>
      </c>
      <c r="O720" s="67">
        <f t="shared" si="134"/>
        <v>1429960.5999999996</v>
      </c>
    </row>
    <row r="721" spans="1:15" ht="66" x14ac:dyDescent="0.2">
      <c r="A721" s="64" t="str">
        <f ca="1">IF(ISERROR(MATCH(E721,Код_КЦСР,0)),"",INDIRECT(ADDRESS(MATCH(E721,Код_КЦСР,0)+1,2,,,"КЦСР")))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учреждениях, за счет средств городского бюджета</v>
      </c>
      <c r="B721" s="26">
        <v>805</v>
      </c>
      <c r="C721" s="65" t="s">
        <v>60</v>
      </c>
      <c r="D721" s="65" t="s">
        <v>71</v>
      </c>
      <c r="E721" s="26" t="s">
        <v>206</v>
      </c>
      <c r="F721" s="26"/>
      <c r="G721" s="66">
        <f>G722</f>
        <v>268668.40000000002</v>
      </c>
      <c r="H721" s="66">
        <f>H722</f>
        <v>0</v>
      </c>
      <c r="I721" s="67">
        <f t="shared" si="140"/>
        <v>268668.40000000002</v>
      </c>
      <c r="J721" s="66">
        <f>J722</f>
        <v>-0.1</v>
      </c>
      <c r="K721" s="67">
        <f t="shared" si="138"/>
        <v>268668.30000000005</v>
      </c>
      <c r="L721" s="66">
        <f>L722</f>
        <v>-709</v>
      </c>
      <c r="M721" s="67">
        <f t="shared" si="139"/>
        <v>267959.30000000005</v>
      </c>
      <c r="N721" s="66">
        <f>N722</f>
        <v>-354</v>
      </c>
      <c r="O721" s="67">
        <f t="shared" si="134"/>
        <v>267605.30000000005</v>
      </c>
    </row>
    <row r="722" spans="1:15" ht="33" x14ac:dyDescent="0.2">
      <c r="A722" s="64" t="str">
        <f ca="1">IF(ISERROR(MATCH(F722,Код_КВР,0)),"",INDIRECT(ADDRESS(MATCH(F722,Код_КВР,0)+1,2,,,"КВР")))</f>
        <v>Предоставление субсидий бюджетным, автономным учреждениям и иным некоммерческим организациям</v>
      </c>
      <c r="B722" s="26">
        <v>805</v>
      </c>
      <c r="C722" s="65" t="s">
        <v>60</v>
      </c>
      <c r="D722" s="65" t="s">
        <v>71</v>
      </c>
      <c r="E722" s="26" t="s">
        <v>206</v>
      </c>
      <c r="F722" s="26">
        <v>600</v>
      </c>
      <c r="G722" s="66">
        <f>G723+G724</f>
        <v>268668.40000000002</v>
      </c>
      <c r="H722" s="66">
        <f>H723+H724</f>
        <v>0</v>
      </c>
      <c r="I722" s="67">
        <f t="shared" si="140"/>
        <v>268668.40000000002</v>
      </c>
      <c r="J722" s="66">
        <f>J723+J724</f>
        <v>-0.1</v>
      </c>
      <c r="K722" s="67">
        <f t="shared" si="138"/>
        <v>268668.30000000005</v>
      </c>
      <c r="L722" s="66">
        <f>L723+L724</f>
        <v>-709</v>
      </c>
      <c r="M722" s="67">
        <f t="shared" si="139"/>
        <v>267959.30000000005</v>
      </c>
      <c r="N722" s="66">
        <f>N723+N724</f>
        <v>-354</v>
      </c>
      <c r="O722" s="67">
        <f t="shared" si="134"/>
        <v>267605.30000000005</v>
      </c>
    </row>
    <row r="723" spans="1:15" x14ac:dyDescent="0.2">
      <c r="A723" s="64" t="str">
        <f ca="1">IF(ISERROR(MATCH(F723,Код_КВР,0)),"",INDIRECT(ADDRESS(MATCH(F723,Код_КВР,0)+1,2,,,"КВР")))</f>
        <v>Субсидии бюджетным учреждениям</v>
      </c>
      <c r="B723" s="26">
        <v>805</v>
      </c>
      <c r="C723" s="65" t="s">
        <v>60</v>
      </c>
      <c r="D723" s="65" t="s">
        <v>71</v>
      </c>
      <c r="E723" s="26" t="s">
        <v>206</v>
      </c>
      <c r="F723" s="26">
        <v>610</v>
      </c>
      <c r="G723" s="66">
        <f>208442.3+55036.2</f>
        <v>263478.5</v>
      </c>
      <c r="H723" s="66"/>
      <c r="I723" s="67">
        <f t="shared" si="140"/>
        <v>263478.5</v>
      </c>
      <c r="J723" s="66">
        <v>-0.1</v>
      </c>
      <c r="K723" s="67">
        <f t="shared" si="138"/>
        <v>263478.40000000002</v>
      </c>
      <c r="L723" s="66">
        <v>-693.3</v>
      </c>
      <c r="M723" s="67">
        <f t="shared" si="139"/>
        <v>262785.10000000003</v>
      </c>
      <c r="N723" s="66">
        <f>-5-349</f>
        <v>-354</v>
      </c>
      <c r="O723" s="67">
        <f t="shared" ref="O723:O786" si="141">M723+N723</f>
        <v>262431.10000000003</v>
      </c>
    </row>
    <row r="724" spans="1:15" x14ac:dyDescent="0.2">
      <c r="A724" s="64" t="str">
        <f ca="1">IF(ISERROR(MATCH(F724,Код_КВР,0)),"",INDIRECT(ADDRESS(MATCH(F724,Код_КВР,0)+1,2,,,"КВР")))</f>
        <v>Субсидии автономным учреждениям</v>
      </c>
      <c r="B724" s="26">
        <v>805</v>
      </c>
      <c r="C724" s="65" t="s">
        <v>60</v>
      </c>
      <c r="D724" s="65" t="s">
        <v>71</v>
      </c>
      <c r="E724" s="26" t="s">
        <v>206</v>
      </c>
      <c r="F724" s="26">
        <v>620</v>
      </c>
      <c r="G724" s="66">
        <f>3933.1+1256.8</f>
        <v>5189.8999999999996</v>
      </c>
      <c r="H724" s="66"/>
      <c r="I724" s="67">
        <f t="shared" si="140"/>
        <v>5189.8999999999996</v>
      </c>
      <c r="J724" s="66"/>
      <c r="K724" s="67">
        <f t="shared" si="138"/>
        <v>5189.8999999999996</v>
      </c>
      <c r="L724" s="66">
        <f>-15.7</f>
        <v>-15.7</v>
      </c>
      <c r="M724" s="67">
        <f t="shared" si="139"/>
        <v>5174.2</v>
      </c>
      <c r="N724" s="66"/>
      <c r="O724" s="67">
        <f t="shared" si="141"/>
        <v>5174.2</v>
      </c>
    </row>
    <row r="725" spans="1:15" ht="66" x14ac:dyDescent="0.2">
      <c r="A725" s="64" t="str">
        <f ca="1">IF(ISERROR(MATCH(E725,Код_КЦСР,0)),"",INDIRECT(ADDRESS(MATCH(E725,Код_КЦСР,0)+1,2,,,"КЦСР")))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учреждениях, за счет средств областного бюджета</v>
      </c>
      <c r="B725" s="26">
        <v>805</v>
      </c>
      <c r="C725" s="65" t="s">
        <v>60</v>
      </c>
      <c r="D725" s="65" t="s">
        <v>71</v>
      </c>
      <c r="E725" s="26" t="s">
        <v>207</v>
      </c>
      <c r="F725" s="26"/>
      <c r="G725" s="66">
        <f>G726</f>
        <v>1162355.2999999998</v>
      </c>
      <c r="H725" s="66">
        <f>H726</f>
        <v>0</v>
      </c>
      <c r="I725" s="67">
        <f t="shared" si="140"/>
        <v>1162355.2999999998</v>
      </c>
      <c r="J725" s="66">
        <f>J726</f>
        <v>0</v>
      </c>
      <c r="K725" s="67">
        <f t="shared" si="138"/>
        <v>1162355.2999999998</v>
      </c>
      <c r="L725" s="66">
        <f>L726</f>
        <v>0</v>
      </c>
      <c r="M725" s="67">
        <f t="shared" si="139"/>
        <v>1162355.2999999998</v>
      </c>
      <c r="N725" s="66">
        <f>N726</f>
        <v>0</v>
      </c>
      <c r="O725" s="67">
        <f t="shared" si="141"/>
        <v>1162355.2999999998</v>
      </c>
    </row>
    <row r="726" spans="1:15" ht="33" x14ac:dyDescent="0.2">
      <c r="A726" s="64" t="str">
        <f ca="1">IF(ISERROR(MATCH(F726,Код_КВР,0)),"",INDIRECT(ADDRESS(MATCH(F726,Код_КВР,0)+1,2,,,"КВР")))</f>
        <v>Предоставление субсидий бюджетным, автономным учреждениям и иным некоммерческим организациям</v>
      </c>
      <c r="B726" s="26">
        <v>805</v>
      </c>
      <c r="C726" s="65" t="s">
        <v>60</v>
      </c>
      <c r="D726" s="65" t="s">
        <v>71</v>
      </c>
      <c r="E726" s="26" t="s">
        <v>207</v>
      </c>
      <c r="F726" s="26">
        <v>600</v>
      </c>
      <c r="G726" s="66">
        <f>G727+G728</f>
        <v>1162355.2999999998</v>
      </c>
      <c r="H726" s="66">
        <f>H727+H728</f>
        <v>0</v>
      </c>
      <c r="I726" s="67">
        <f t="shared" si="140"/>
        <v>1162355.2999999998</v>
      </c>
      <c r="J726" s="66">
        <f>J727+J728</f>
        <v>0</v>
      </c>
      <c r="K726" s="67">
        <f t="shared" si="138"/>
        <v>1162355.2999999998</v>
      </c>
      <c r="L726" s="66">
        <f>L727+L728</f>
        <v>0</v>
      </c>
      <c r="M726" s="67">
        <f t="shared" si="139"/>
        <v>1162355.2999999998</v>
      </c>
      <c r="N726" s="66">
        <f>N727+N728</f>
        <v>0</v>
      </c>
      <c r="O726" s="67">
        <f t="shared" si="141"/>
        <v>1162355.2999999998</v>
      </c>
    </row>
    <row r="727" spans="1:15" x14ac:dyDescent="0.2">
      <c r="A727" s="64" t="str">
        <f ca="1">IF(ISERROR(MATCH(F727,Код_КВР,0)),"",INDIRECT(ADDRESS(MATCH(F727,Код_КВР,0)+1,2,,,"КВР")))</f>
        <v>Субсидии бюджетным учреждениям</v>
      </c>
      <c r="B727" s="26">
        <v>805</v>
      </c>
      <c r="C727" s="65" t="s">
        <v>60</v>
      </c>
      <c r="D727" s="65" t="s">
        <v>71</v>
      </c>
      <c r="E727" s="26" t="s">
        <v>207</v>
      </c>
      <c r="F727" s="26">
        <v>610</v>
      </c>
      <c r="G727" s="66">
        <f>946988.7+137662.2+6491.4+48692</f>
        <v>1139834.2999999998</v>
      </c>
      <c r="H727" s="66"/>
      <c r="I727" s="67">
        <f t="shared" si="140"/>
        <v>1139834.2999999998</v>
      </c>
      <c r="J727" s="66"/>
      <c r="K727" s="67">
        <f t="shared" si="138"/>
        <v>1139834.2999999998</v>
      </c>
      <c r="L727" s="66">
        <v>2049.8000000000002</v>
      </c>
      <c r="M727" s="67">
        <f t="shared" si="139"/>
        <v>1141884.0999999999</v>
      </c>
      <c r="N727" s="66"/>
      <c r="O727" s="67">
        <f t="shared" si="141"/>
        <v>1141884.0999999999</v>
      </c>
    </row>
    <row r="728" spans="1:15" x14ac:dyDescent="0.2">
      <c r="A728" s="64" t="str">
        <f ca="1">IF(ISERROR(MATCH(F728,Код_КВР,0)),"",INDIRECT(ADDRESS(MATCH(F728,Код_КВР,0)+1,2,,,"КВР")))</f>
        <v>Субсидии автономным учреждениям</v>
      </c>
      <c r="B728" s="26">
        <v>805</v>
      </c>
      <c r="C728" s="65" t="s">
        <v>60</v>
      </c>
      <c r="D728" s="65" t="s">
        <v>71</v>
      </c>
      <c r="E728" s="26" t="s">
        <v>207</v>
      </c>
      <c r="F728" s="26">
        <v>620</v>
      </c>
      <c r="G728" s="66">
        <f>18897.2+2835.2+91.1+697.5</f>
        <v>22521</v>
      </c>
      <c r="H728" s="66"/>
      <c r="I728" s="67">
        <f t="shared" si="140"/>
        <v>22521</v>
      </c>
      <c r="J728" s="66"/>
      <c r="K728" s="67">
        <f t="shared" si="138"/>
        <v>22521</v>
      </c>
      <c r="L728" s="66">
        <v>-2049.8000000000002</v>
      </c>
      <c r="M728" s="67">
        <f t="shared" si="139"/>
        <v>20471.2</v>
      </c>
      <c r="N728" s="66"/>
      <c r="O728" s="67">
        <f t="shared" si="141"/>
        <v>20471.2</v>
      </c>
    </row>
    <row r="729" spans="1:15" ht="33" x14ac:dyDescent="0.2">
      <c r="A729" s="64" t="str">
        <f ca="1">IF(ISERROR(MATCH(E729,Код_КЦСР,0)),"",INDIRECT(ADDRESS(MATCH(E729,Код_КЦСР,0)+1,2,,,"КЦСР")))</f>
        <v>Формирование комплексной системы выявления, развития и поддержки одаренных детей и молодых талантов</v>
      </c>
      <c r="B729" s="26">
        <v>805</v>
      </c>
      <c r="C729" s="65" t="s">
        <v>60</v>
      </c>
      <c r="D729" s="65" t="s">
        <v>71</v>
      </c>
      <c r="E729" s="26" t="s">
        <v>208</v>
      </c>
      <c r="F729" s="26"/>
      <c r="G729" s="66">
        <f>G730</f>
        <v>458</v>
      </c>
      <c r="H729" s="66">
        <f>H730</f>
        <v>0</v>
      </c>
      <c r="I729" s="67">
        <f t="shared" si="140"/>
        <v>458</v>
      </c>
      <c r="J729" s="66">
        <f>J730</f>
        <v>0</v>
      </c>
      <c r="K729" s="67">
        <f t="shared" si="138"/>
        <v>458</v>
      </c>
      <c r="L729" s="66">
        <f>L730</f>
        <v>0</v>
      </c>
      <c r="M729" s="67">
        <f t="shared" si="139"/>
        <v>458</v>
      </c>
      <c r="N729" s="66">
        <f>N730</f>
        <v>0</v>
      </c>
      <c r="O729" s="67">
        <f t="shared" si="141"/>
        <v>458</v>
      </c>
    </row>
    <row r="730" spans="1:15" x14ac:dyDescent="0.2">
      <c r="A730" s="64" t="str">
        <f ca="1">IF(ISERROR(MATCH(F730,Код_КВР,0)),"",INDIRECT(ADDRESS(MATCH(F730,Код_КВР,0)+1,2,,,"КВР")))</f>
        <v>Социальное обеспечение и иные выплаты населению</v>
      </c>
      <c r="B730" s="26">
        <v>805</v>
      </c>
      <c r="C730" s="65" t="s">
        <v>60</v>
      </c>
      <c r="D730" s="65" t="s">
        <v>71</v>
      </c>
      <c r="E730" s="26" t="s">
        <v>208</v>
      </c>
      <c r="F730" s="26">
        <v>300</v>
      </c>
      <c r="G730" s="66">
        <f>G731+G732</f>
        <v>458</v>
      </c>
      <c r="H730" s="66">
        <f>H731+H732</f>
        <v>0</v>
      </c>
      <c r="I730" s="67">
        <f t="shared" si="140"/>
        <v>458</v>
      </c>
      <c r="J730" s="66">
        <f>J731+J732</f>
        <v>0</v>
      </c>
      <c r="K730" s="67">
        <f t="shared" si="138"/>
        <v>458</v>
      </c>
      <c r="L730" s="66">
        <f>L731+L732</f>
        <v>0</v>
      </c>
      <c r="M730" s="67">
        <f t="shared" si="139"/>
        <v>458</v>
      </c>
      <c r="N730" s="66">
        <f>N731+N732</f>
        <v>0</v>
      </c>
      <c r="O730" s="67">
        <f t="shared" si="141"/>
        <v>458</v>
      </c>
    </row>
    <row r="731" spans="1:15" x14ac:dyDescent="0.2">
      <c r="A731" s="64" t="str">
        <f ca="1">IF(ISERROR(MATCH(F731,Код_КВР,0)),"",INDIRECT(ADDRESS(MATCH(F731,Код_КВР,0)+1,2,,,"КВР")))</f>
        <v>Стипендии</v>
      </c>
      <c r="B731" s="26">
        <v>805</v>
      </c>
      <c r="C731" s="65" t="s">
        <v>60</v>
      </c>
      <c r="D731" s="65" t="s">
        <v>71</v>
      </c>
      <c r="E731" s="26" t="s">
        <v>208</v>
      </c>
      <c r="F731" s="26">
        <v>340</v>
      </c>
      <c r="G731" s="66">
        <v>200</v>
      </c>
      <c r="H731" s="66"/>
      <c r="I731" s="67">
        <f t="shared" si="140"/>
        <v>200</v>
      </c>
      <c r="J731" s="66"/>
      <c r="K731" s="67">
        <f t="shared" si="138"/>
        <v>200</v>
      </c>
      <c r="L731" s="66"/>
      <c r="M731" s="67">
        <f t="shared" si="139"/>
        <v>200</v>
      </c>
      <c r="N731" s="66"/>
      <c r="O731" s="67">
        <f t="shared" si="141"/>
        <v>200</v>
      </c>
    </row>
    <row r="732" spans="1:15" x14ac:dyDescent="0.2">
      <c r="A732" s="64" t="str">
        <f ca="1">IF(ISERROR(MATCH(F732,Код_КВР,0)),"",INDIRECT(ADDRESS(MATCH(F732,Код_КВР,0)+1,2,,,"КВР")))</f>
        <v>Премии и гранты</v>
      </c>
      <c r="B732" s="26">
        <v>805</v>
      </c>
      <c r="C732" s="65" t="s">
        <v>60</v>
      </c>
      <c r="D732" s="65" t="s">
        <v>71</v>
      </c>
      <c r="E732" s="26" t="s">
        <v>208</v>
      </c>
      <c r="F732" s="26">
        <v>350</v>
      </c>
      <c r="G732" s="66">
        <v>258</v>
      </c>
      <c r="H732" s="66"/>
      <c r="I732" s="67">
        <f t="shared" si="140"/>
        <v>258</v>
      </c>
      <c r="J732" s="66"/>
      <c r="K732" s="67">
        <f t="shared" si="138"/>
        <v>258</v>
      </c>
      <c r="L732" s="66"/>
      <c r="M732" s="67">
        <f t="shared" si="139"/>
        <v>258</v>
      </c>
      <c r="N732" s="66"/>
      <c r="O732" s="67">
        <f t="shared" si="141"/>
        <v>258</v>
      </c>
    </row>
    <row r="733" spans="1:15" ht="66" x14ac:dyDescent="0.2">
      <c r="A733" s="64" t="str">
        <f ca="1">IF(ISERROR(MATCH(E733,Код_КЦСР,0)),"",INDIRECT(ADDRESS(MATCH(E733,Код_КЦСР,0)+1,2,,,"КЦСР")))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733" s="26">
        <v>805</v>
      </c>
      <c r="C733" s="65" t="s">
        <v>60</v>
      </c>
      <c r="D733" s="65" t="s">
        <v>71</v>
      </c>
      <c r="E733" s="26" t="s">
        <v>209</v>
      </c>
      <c r="F733" s="26"/>
      <c r="G733" s="66">
        <f t="shared" ref="G733:N734" si="142">G734</f>
        <v>14098.5</v>
      </c>
      <c r="H733" s="66">
        <f t="shared" si="142"/>
        <v>0</v>
      </c>
      <c r="I733" s="67">
        <f t="shared" si="140"/>
        <v>14098.5</v>
      </c>
      <c r="J733" s="66">
        <f t="shared" si="142"/>
        <v>0</v>
      </c>
      <c r="K733" s="67">
        <f t="shared" si="138"/>
        <v>14098.5</v>
      </c>
      <c r="L733" s="66">
        <f t="shared" si="142"/>
        <v>0</v>
      </c>
      <c r="M733" s="67">
        <f t="shared" si="139"/>
        <v>14098.5</v>
      </c>
      <c r="N733" s="66">
        <f t="shared" si="142"/>
        <v>0</v>
      </c>
      <c r="O733" s="67">
        <f t="shared" si="141"/>
        <v>14098.5</v>
      </c>
    </row>
    <row r="734" spans="1:15" ht="66" x14ac:dyDescent="0.2">
      <c r="A734" s="64" t="str">
        <f ca="1">IF(ISERROR(MATCH(E734,Код_КЦСР,0)),"",INDIRECT(ADDRESS(MATCH(E734,Код_КЦСР,0)+1,2,,,"КЦСР")))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образования», за счет средств областного бюджета</v>
      </c>
      <c r="B734" s="26">
        <v>805</v>
      </c>
      <c r="C734" s="65" t="s">
        <v>60</v>
      </c>
      <c r="D734" s="65" t="s">
        <v>71</v>
      </c>
      <c r="E734" s="26" t="s">
        <v>210</v>
      </c>
      <c r="F734" s="26"/>
      <c r="G734" s="66">
        <f t="shared" si="142"/>
        <v>14098.5</v>
      </c>
      <c r="H734" s="66">
        <f t="shared" si="142"/>
        <v>0</v>
      </c>
      <c r="I734" s="67">
        <f t="shared" si="140"/>
        <v>14098.5</v>
      </c>
      <c r="J734" s="66">
        <f t="shared" si="142"/>
        <v>0</v>
      </c>
      <c r="K734" s="67">
        <f t="shared" si="138"/>
        <v>14098.5</v>
      </c>
      <c r="L734" s="66">
        <f t="shared" si="142"/>
        <v>0</v>
      </c>
      <c r="M734" s="67">
        <f t="shared" si="139"/>
        <v>14098.5</v>
      </c>
      <c r="N734" s="66">
        <f t="shared" si="142"/>
        <v>0</v>
      </c>
      <c r="O734" s="67">
        <f t="shared" si="141"/>
        <v>14098.5</v>
      </c>
    </row>
    <row r="735" spans="1:15" ht="33" x14ac:dyDescent="0.2">
      <c r="A735" s="64" t="str">
        <f ca="1">IF(ISERROR(MATCH(F735,Код_КВР,0)),"",INDIRECT(ADDRESS(MATCH(F735,Код_КВР,0)+1,2,,,"КВР")))</f>
        <v>Предоставление субсидий бюджетным, автономным учреждениям и иным некоммерческим организациям</v>
      </c>
      <c r="B735" s="26">
        <v>805</v>
      </c>
      <c r="C735" s="65" t="s">
        <v>60</v>
      </c>
      <c r="D735" s="65" t="s">
        <v>71</v>
      </c>
      <c r="E735" s="26" t="s">
        <v>210</v>
      </c>
      <c r="F735" s="26">
        <v>600</v>
      </c>
      <c r="G735" s="66">
        <f>G736+G737</f>
        <v>14098.5</v>
      </c>
      <c r="H735" s="66">
        <f>H736+H737</f>
        <v>0</v>
      </c>
      <c r="I735" s="67">
        <f t="shared" si="140"/>
        <v>14098.5</v>
      </c>
      <c r="J735" s="66">
        <f>J736+J737</f>
        <v>0</v>
      </c>
      <c r="K735" s="67">
        <f t="shared" si="138"/>
        <v>14098.5</v>
      </c>
      <c r="L735" s="66">
        <f>L736+L737</f>
        <v>0</v>
      </c>
      <c r="M735" s="67">
        <f t="shared" si="139"/>
        <v>14098.5</v>
      </c>
      <c r="N735" s="66">
        <f>N736+N737</f>
        <v>0</v>
      </c>
      <c r="O735" s="67">
        <f t="shared" si="141"/>
        <v>14098.5</v>
      </c>
    </row>
    <row r="736" spans="1:15" x14ac:dyDescent="0.2">
      <c r="A736" s="64" t="str">
        <f ca="1">IF(ISERROR(MATCH(F736,Код_КВР,0)),"",INDIRECT(ADDRESS(MATCH(F736,Код_КВР,0)+1,2,,,"КВР")))</f>
        <v>Субсидии бюджетным учреждениям</v>
      </c>
      <c r="B736" s="26">
        <v>805</v>
      </c>
      <c r="C736" s="65" t="s">
        <v>60</v>
      </c>
      <c r="D736" s="65" t="s">
        <v>71</v>
      </c>
      <c r="E736" s="26" t="s">
        <v>210</v>
      </c>
      <c r="F736" s="26">
        <v>610</v>
      </c>
      <c r="G736" s="66">
        <v>14090.6</v>
      </c>
      <c r="H736" s="66"/>
      <c r="I736" s="67">
        <f t="shared" si="140"/>
        <v>14090.6</v>
      </c>
      <c r="J736" s="66"/>
      <c r="K736" s="67">
        <f t="shared" si="138"/>
        <v>14090.6</v>
      </c>
      <c r="L736" s="66"/>
      <c r="M736" s="67">
        <f t="shared" si="139"/>
        <v>14090.6</v>
      </c>
      <c r="N736" s="66"/>
      <c r="O736" s="67">
        <f t="shared" si="141"/>
        <v>14090.6</v>
      </c>
    </row>
    <row r="737" spans="1:15" x14ac:dyDescent="0.2">
      <c r="A737" s="64" t="str">
        <f ca="1">IF(ISERROR(MATCH(F737,Код_КВР,0)),"",INDIRECT(ADDRESS(MATCH(F737,Код_КВР,0)+1,2,,,"КВР")))</f>
        <v>Субсидии автономным учреждениям</v>
      </c>
      <c r="B737" s="26">
        <v>805</v>
      </c>
      <c r="C737" s="65" t="s">
        <v>60</v>
      </c>
      <c r="D737" s="65" t="s">
        <v>71</v>
      </c>
      <c r="E737" s="26" t="s">
        <v>210</v>
      </c>
      <c r="F737" s="26">
        <v>620</v>
      </c>
      <c r="G737" s="66">
        <v>7.9</v>
      </c>
      <c r="H737" s="66"/>
      <c r="I737" s="67">
        <f t="shared" si="140"/>
        <v>7.9</v>
      </c>
      <c r="J737" s="66"/>
      <c r="K737" s="67">
        <f t="shared" si="138"/>
        <v>7.9</v>
      </c>
      <c r="L737" s="66"/>
      <c r="M737" s="67">
        <f t="shared" si="139"/>
        <v>7.9</v>
      </c>
      <c r="N737" s="66"/>
      <c r="O737" s="67">
        <f t="shared" si="141"/>
        <v>7.9</v>
      </c>
    </row>
    <row r="738" spans="1:15" ht="33" x14ac:dyDescent="0.2">
      <c r="A738" s="64" t="str">
        <f ca="1">IF(ISERROR(MATCH(E738,Код_КЦСР,0)),"",INDIRECT(ADDRESS(MATCH(E738,Код_КЦСР,0)+1,2,,,"КЦСР")))</f>
        <v>Организация проведения общественно-значимых мероприятий в сфере образования, науки и молодежной политики</v>
      </c>
      <c r="B738" s="26">
        <v>805</v>
      </c>
      <c r="C738" s="65" t="s">
        <v>60</v>
      </c>
      <c r="D738" s="65" t="s">
        <v>71</v>
      </c>
      <c r="E738" s="26" t="s">
        <v>436</v>
      </c>
      <c r="F738" s="26"/>
      <c r="G738" s="66">
        <f>G739</f>
        <v>905.5</v>
      </c>
      <c r="H738" s="66">
        <f>H739</f>
        <v>0</v>
      </c>
      <c r="I738" s="67">
        <f t="shared" si="140"/>
        <v>905.5</v>
      </c>
      <c r="J738" s="66">
        <f>J739</f>
        <v>0</v>
      </c>
      <c r="K738" s="67">
        <f t="shared" si="138"/>
        <v>905.5</v>
      </c>
      <c r="L738" s="66">
        <f>L739</f>
        <v>0</v>
      </c>
      <c r="M738" s="67">
        <f t="shared" si="139"/>
        <v>905.5</v>
      </c>
      <c r="N738" s="66">
        <f>N739</f>
        <v>0</v>
      </c>
      <c r="O738" s="67">
        <f t="shared" si="141"/>
        <v>905.5</v>
      </c>
    </row>
    <row r="739" spans="1:15" ht="33" x14ac:dyDescent="0.2">
      <c r="A739" s="64" t="str">
        <f ca="1">IF(ISERROR(MATCH(F739,Код_КВР,0)),"",INDIRECT(ADDRESS(MATCH(F739,Код_КВР,0)+1,2,,,"КВР")))</f>
        <v>Предоставление субсидий бюджетным, автономным учреждениям и иным некоммерческим организациям</v>
      </c>
      <c r="B739" s="26">
        <v>805</v>
      </c>
      <c r="C739" s="65" t="s">
        <v>60</v>
      </c>
      <c r="D739" s="65" t="s">
        <v>71</v>
      </c>
      <c r="E739" s="26" t="s">
        <v>436</v>
      </c>
      <c r="F739" s="26">
        <v>600</v>
      </c>
      <c r="G739" s="66">
        <f>G740+G741</f>
        <v>905.5</v>
      </c>
      <c r="H739" s="66">
        <f>H740+H741</f>
        <v>0</v>
      </c>
      <c r="I739" s="67">
        <f t="shared" si="140"/>
        <v>905.5</v>
      </c>
      <c r="J739" s="66">
        <f>J740+J741</f>
        <v>0</v>
      </c>
      <c r="K739" s="67">
        <f t="shared" si="138"/>
        <v>905.5</v>
      </c>
      <c r="L739" s="66">
        <f>L740+L741</f>
        <v>0</v>
      </c>
      <c r="M739" s="67">
        <f t="shared" si="139"/>
        <v>905.5</v>
      </c>
      <c r="N739" s="66">
        <f>N740+N741</f>
        <v>0</v>
      </c>
      <c r="O739" s="67">
        <f t="shared" si="141"/>
        <v>905.5</v>
      </c>
    </row>
    <row r="740" spans="1:15" x14ac:dyDescent="0.2">
      <c r="A740" s="64" t="str">
        <f ca="1">IF(ISERROR(MATCH(F740,Код_КВР,0)),"",INDIRECT(ADDRESS(MATCH(F740,Код_КВР,0)+1,2,,,"КВР")))</f>
        <v>Субсидии бюджетным учреждениям</v>
      </c>
      <c r="B740" s="26">
        <v>805</v>
      </c>
      <c r="C740" s="65" t="s">
        <v>60</v>
      </c>
      <c r="D740" s="65" t="s">
        <v>71</v>
      </c>
      <c r="E740" s="26" t="s">
        <v>436</v>
      </c>
      <c r="F740" s="26">
        <v>610</v>
      </c>
      <c r="G740" s="66">
        <v>886.1</v>
      </c>
      <c r="H740" s="66"/>
      <c r="I740" s="67">
        <f t="shared" si="140"/>
        <v>886.1</v>
      </c>
      <c r="J740" s="66"/>
      <c r="K740" s="67">
        <f t="shared" si="138"/>
        <v>886.1</v>
      </c>
      <c r="L740" s="66">
        <f>-0.6-2.1</f>
        <v>-2.7</v>
      </c>
      <c r="M740" s="67">
        <f t="shared" si="139"/>
        <v>883.4</v>
      </c>
      <c r="N740" s="66"/>
      <c r="O740" s="67">
        <f t="shared" si="141"/>
        <v>883.4</v>
      </c>
    </row>
    <row r="741" spans="1:15" x14ac:dyDescent="0.2">
      <c r="A741" s="64" t="str">
        <f ca="1">IF(ISERROR(MATCH(F741,Код_КВР,0)),"",INDIRECT(ADDRESS(MATCH(F741,Код_КВР,0)+1,2,,,"КВР")))</f>
        <v>Субсидии автономным учреждениям</v>
      </c>
      <c r="B741" s="26">
        <v>805</v>
      </c>
      <c r="C741" s="65" t="s">
        <v>60</v>
      </c>
      <c r="D741" s="65" t="s">
        <v>71</v>
      </c>
      <c r="E741" s="26" t="s">
        <v>436</v>
      </c>
      <c r="F741" s="26">
        <v>620</v>
      </c>
      <c r="G741" s="66">
        <v>19.399999999999999</v>
      </c>
      <c r="H741" s="66"/>
      <c r="I741" s="67">
        <f t="shared" si="140"/>
        <v>19.399999999999999</v>
      </c>
      <c r="J741" s="66"/>
      <c r="K741" s="67">
        <f t="shared" si="138"/>
        <v>19.399999999999999</v>
      </c>
      <c r="L741" s="66">
        <f>0.6+2.1</f>
        <v>2.7</v>
      </c>
      <c r="M741" s="67">
        <f t="shared" si="139"/>
        <v>22.099999999999998</v>
      </c>
      <c r="N741" s="66"/>
      <c r="O741" s="67">
        <f t="shared" si="141"/>
        <v>22.099999999999998</v>
      </c>
    </row>
    <row r="742" spans="1:15" x14ac:dyDescent="0.2">
      <c r="A742" s="64" t="str">
        <f ca="1">IF(ISERROR(MATCH(E742,Код_КЦСР,0)),"",INDIRECT(ADDRESS(MATCH(E742,Код_КЦСР,0)+1,2,,,"КЦСР")))</f>
        <v>Кадровое обеспечение муниципальной системы образования</v>
      </c>
      <c r="B742" s="26">
        <v>805</v>
      </c>
      <c r="C742" s="65" t="s">
        <v>60</v>
      </c>
      <c r="D742" s="65" t="s">
        <v>71</v>
      </c>
      <c r="E742" s="26" t="s">
        <v>216</v>
      </c>
      <c r="F742" s="26"/>
      <c r="G742" s="67">
        <f>G743+G748</f>
        <v>227.9</v>
      </c>
      <c r="H742" s="67">
        <f>H743+H748</f>
        <v>0</v>
      </c>
      <c r="I742" s="67">
        <f t="shared" si="140"/>
        <v>227.9</v>
      </c>
      <c r="J742" s="67">
        <f>J743+J748</f>
        <v>0</v>
      </c>
      <c r="K742" s="67">
        <f t="shared" si="138"/>
        <v>227.9</v>
      </c>
      <c r="L742" s="67">
        <f>L743+L748</f>
        <v>0</v>
      </c>
      <c r="M742" s="67">
        <f t="shared" si="139"/>
        <v>227.9</v>
      </c>
      <c r="N742" s="67">
        <f>N743+N748</f>
        <v>0</v>
      </c>
      <c r="O742" s="67">
        <f t="shared" si="141"/>
        <v>227.9</v>
      </c>
    </row>
    <row r="743" spans="1:15" ht="33" x14ac:dyDescent="0.2">
      <c r="A743" s="64" t="str">
        <f ca="1">IF(ISERROR(MATCH(E743,Код_КЦСР,0)),"",INDIRECT(ADDRESS(MATCH(E743,Код_КЦСР,0)+1,2,,,"КЦСР")))</f>
        <v>Осуществление выплат городских премий работникам муниципальных образовательных учреждений</v>
      </c>
      <c r="B743" s="26">
        <v>805</v>
      </c>
      <c r="C743" s="65" t="s">
        <v>60</v>
      </c>
      <c r="D743" s="65" t="s">
        <v>71</v>
      </c>
      <c r="E743" s="26" t="s">
        <v>217</v>
      </c>
      <c r="F743" s="26"/>
      <c r="G743" s="67">
        <f t="shared" ref="G743:N746" si="143">G744</f>
        <v>195.3</v>
      </c>
      <c r="H743" s="67">
        <f t="shared" si="143"/>
        <v>0</v>
      </c>
      <c r="I743" s="67">
        <f t="shared" si="140"/>
        <v>195.3</v>
      </c>
      <c r="J743" s="67">
        <f t="shared" si="143"/>
        <v>0</v>
      </c>
      <c r="K743" s="67">
        <f t="shared" si="138"/>
        <v>195.3</v>
      </c>
      <c r="L743" s="67">
        <f t="shared" si="143"/>
        <v>0</v>
      </c>
      <c r="M743" s="67">
        <f t="shared" si="139"/>
        <v>195.3</v>
      </c>
      <c r="N743" s="67">
        <f t="shared" si="143"/>
        <v>0</v>
      </c>
      <c r="O743" s="67">
        <f t="shared" si="141"/>
        <v>195.3</v>
      </c>
    </row>
    <row r="744" spans="1:15" ht="33" x14ac:dyDescent="0.2">
      <c r="A744" s="64" t="str">
        <f ca="1">IF(ISERROR(MATCH(E744,Код_КЦСР,0)),"",INDIRECT(ADDRESS(MATCH(E744,Код_КЦСР,0)+1,2,,,"КЦСР")))</f>
        <v>Осуществление выплат городских премий работникам муниципальных образовательных учреждений, за счет средств городского бюджета</v>
      </c>
      <c r="B744" s="26">
        <v>805</v>
      </c>
      <c r="C744" s="65" t="s">
        <v>60</v>
      </c>
      <c r="D744" s="65" t="s">
        <v>71</v>
      </c>
      <c r="E744" s="26" t="s">
        <v>219</v>
      </c>
      <c r="F744" s="26"/>
      <c r="G744" s="67">
        <f t="shared" si="143"/>
        <v>195.3</v>
      </c>
      <c r="H744" s="67">
        <f t="shared" si="143"/>
        <v>0</v>
      </c>
      <c r="I744" s="67">
        <f t="shared" si="140"/>
        <v>195.3</v>
      </c>
      <c r="J744" s="67">
        <f t="shared" si="143"/>
        <v>0</v>
      </c>
      <c r="K744" s="67">
        <f t="shared" si="138"/>
        <v>195.3</v>
      </c>
      <c r="L744" s="67">
        <f t="shared" si="143"/>
        <v>0</v>
      </c>
      <c r="M744" s="67">
        <f t="shared" si="139"/>
        <v>195.3</v>
      </c>
      <c r="N744" s="67">
        <f t="shared" si="143"/>
        <v>0</v>
      </c>
      <c r="O744" s="67">
        <f t="shared" si="141"/>
        <v>195.3</v>
      </c>
    </row>
    <row r="745" spans="1:15" ht="49.5" x14ac:dyDescent="0.2">
      <c r="A745" s="64" t="str">
        <f ca="1">IF(ISERROR(MATCH(E745,Код_КЦСР,0)),"",INDIRECT(ADDRESS(MATCH(E745,Код_КЦСР,0)+1,2,,,"КЦСР")))</f>
        <v>Городские премии имени И.А. Милютина в области образования в соответствии с постановлением Череповецкой городской Думы от 23.09.2003 № 120</v>
      </c>
      <c r="B745" s="26">
        <v>805</v>
      </c>
      <c r="C745" s="65" t="s">
        <v>60</v>
      </c>
      <c r="D745" s="65" t="s">
        <v>71</v>
      </c>
      <c r="E745" s="26" t="s">
        <v>220</v>
      </c>
      <c r="F745" s="26"/>
      <c r="G745" s="67">
        <f t="shared" si="143"/>
        <v>195.3</v>
      </c>
      <c r="H745" s="67">
        <f t="shared" si="143"/>
        <v>0</v>
      </c>
      <c r="I745" s="67">
        <f t="shared" si="140"/>
        <v>195.3</v>
      </c>
      <c r="J745" s="67">
        <f t="shared" si="143"/>
        <v>0</v>
      </c>
      <c r="K745" s="67">
        <f t="shared" si="138"/>
        <v>195.3</v>
      </c>
      <c r="L745" s="67">
        <f t="shared" si="143"/>
        <v>0</v>
      </c>
      <c r="M745" s="67">
        <f t="shared" si="139"/>
        <v>195.3</v>
      </c>
      <c r="N745" s="67">
        <f t="shared" si="143"/>
        <v>0</v>
      </c>
      <c r="O745" s="67">
        <f t="shared" si="141"/>
        <v>195.3</v>
      </c>
    </row>
    <row r="746" spans="1:15" x14ac:dyDescent="0.2">
      <c r="A746" s="64" t="str">
        <f ca="1">IF(ISERROR(MATCH(F746,Код_КВР,0)),"",INDIRECT(ADDRESS(MATCH(F746,Код_КВР,0)+1,2,,,"КВР")))</f>
        <v>Социальное обеспечение и иные выплаты населению</v>
      </c>
      <c r="B746" s="26">
        <v>805</v>
      </c>
      <c r="C746" s="65" t="s">
        <v>60</v>
      </c>
      <c r="D746" s="65" t="s">
        <v>71</v>
      </c>
      <c r="E746" s="26" t="s">
        <v>220</v>
      </c>
      <c r="F746" s="26">
        <v>300</v>
      </c>
      <c r="G746" s="67">
        <f t="shared" si="143"/>
        <v>195.3</v>
      </c>
      <c r="H746" s="67">
        <f t="shared" si="143"/>
        <v>0</v>
      </c>
      <c r="I746" s="67">
        <f t="shared" si="140"/>
        <v>195.3</v>
      </c>
      <c r="J746" s="67">
        <f t="shared" si="143"/>
        <v>0</v>
      </c>
      <c r="K746" s="67">
        <f t="shared" si="138"/>
        <v>195.3</v>
      </c>
      <c r="L746" s="67">
        <f t="shared" si="143"/>
        <v>0</v>
      </c>
      <c r="M746" s="67">
        <f t="shared" si="139"/>
        <v>195.3</v>
      </c>
      <c r="N746" s="67">
        <f t="shared" si="143"/>
        <v>0</v>
      </c>
      <c r="O746" s="67">
        <f t="shared" si="141"/>
        <v>195.3</v>
      </c>
    </row>
    <row r="747" spans="1:15" x14ac:dyDescent="0.2">
      <c r="A747" s="64" t="str">
        <f ca="1">IF(ISERROR(MATCH(F747,Код_КВР,0)),"",INDIRECT(ADDRESS(MATCH(F747,Код_КВР,0)+1,2,,,"КВР")))</f>
        <v>Публичные нормативные выплаты гражданам несоциального характера</v>
      </c>
      <c r="B747" s="26">
        <v>805</v>
      </c>
      <c r="C747" s="65" t="s">
        <v>60</v>
      </c>
      <c r="D747" s="65" t="s">
        <v>71</v>
      </c>
      <c r="E747" s="26" t="s">
        <v>220</v>
      </c>
      <c r="F747" s="26">
        <v>330</v>
      </c>
      <c r="G747" s="67">
        <v>195.3</v>
      </c>
      <c r="H747" s="67"/>
      <c r="I747" s="67">
        <f t="shared" si="140"/>
        <v>195.3</v>
      </c>
      <c r="J747" s="67"/>
      <c r="K747" s="67">
        <f t="shared" si="138"/>
        <v>195.3</v>
      </c>
      <c r="L747" s="67"/>
      <c r="M747" s="67">
        <f t="shared" si="139"/>
        <v>195.3</v>
      </c>
      <c r="N747" s="67"/>
      <c r="O747" s="67">
        <f t="shared" si="141"/>
        <v>195.3</v>
      </c>
    </row>
    <row r="748" spans="1:15" ht="33" x14ac:dyDescent="0.2">
      <c r="A748" s="64" t="str">
        <f ca="1">IF(ISERROR(MATCH(E748,Код_КЦСР,0)),"",INDIRECT(ADDRESS(MATCH(E748,Код_КЦСР,0)+1,2,,,"КЦСР")))</f>
        <v>Представление лучших педагогов сферы образования к поощрению наградами всех уровней</v>
      </c>
      <c r="B748" s="26">
        <v>805</v>
      </c>
      <c r="C748" s="65" t="s">
        <v>60</v>
      </c>
      <c r="D748" s="65" t="s">
        <v>71</v>
      </c>
      <c r="E748" s="26" t="s">
        <v>227</v>
      </c>
      <c r="F748" s="26"/>
      <c r="G748" s="67">
        <f t="shared" ref="G748:N751" si="144">G749</f>
        <v>32.6</v>
      </c>
      <c r="H748" s="67">
        <f t="shared" si="144"/>
        <v>0</v>
      </c>
      <c r="I748" s="67">
        <f t="shared" si="140"/>
        <v>32.6</v>
      </c>
      <c r="J748" s="67">
        <f t="shared" si="144"/>
        <v>0</v>
      </c>
      <c r="K748" s="67">
        <f t="shared" si="138"/>
        <v>32.6</v>
      </c>
      <c r="L748" s="67">
        <f t="shared" si="144"/>
        <v>0</v>
      </c>
      <c r="M748" s="67">
        <f t="shared" si="139"/>
        <v>32.6</v>
      </c>
      <c r="N748" s="67">
        <f t="shared" si="144"/>
        <v>0</v>
      </c>
      <c r="O748" s="67">
        <f t="shared" si="141"/>
        <v>32.6</v>
      </c>
    </row>
    <row r="749" spans="1:15" ht="39" customHeight="1" x14ac:dyDescent="0.2">
      <c r="A749" s="64" t="str">
        <f ca="1">IF(ISERROR(MATCH(E749,Код_КЦСР,0)),"",INDIRECT(ADDRESS(MATCH(E749,Код_КЦСР,0)+1,2,,,"КЦСР")))</f>
        <v>Представление лучших педагогов сферы образования к поощрению наградами всех уровней, за счет средств городского бюджета</v>
      </c>
      <c r="B749" s="26">
        <v>805</v>
      </c>
      <c r="C749" s="65" t="s">
        <v>60</v>
      </c>
      <c r="D749" s="65" t="s">
        <v>71</v>
      </c>
      <c r="E749" s="26" t="s">
        <v>229</v>
      </c>
      <c r="F749" s="26"/>
      <c r="G749" s="67">
        <f t="shared" si="144"/>
        <v>32.6</v>
      </c>
      <c r="H749" s="67">
        <f t="shared" si="144"/>
        <v>0</v>
      </c>
      <c r="I749" s="67">
        <f t="shared" si="140"/>
        <v>32.6</v>
      </c>
      <c r="J749" s="67">
        <f t="shared" si="144"/>
        <v>0</v>
      </c>
      <c r="K749" s="67">
        <f t="shared" si="138"/>
        <v>32.6</v>
      </c>
      <c r="L749" s="67">
        <f t="shared" si="144"/>
        <v>0</v>
      </c>
      <c r="M749" s="67">
        <f t="shared" si="139"/>
        <v>32.6</v>
      </c>
      <c r="N749" s="67">
        <f t="shared" si="144"/>
        <v>0</v>
      </c>
      <c r="O749" s="67">
        <f t="shared" si="141"/>
        <v>32.6</v>
      </c>
    </row>
    <row r="750" spans="1:15" ht="50.25" customHeight="1" x14ac:dyDescent="0.2">
      <c r="A750" s="64" t="str">
        <f ca="1">IF(ISERROR(MATCH(E750,Код_КЦСР,0)),"",INDIRECT(ADDRESS(MATCH(E750,Код_КЦСР,0)+1,2,,,"КЦСР")))</f>
        <v>Премии победителям конкурса профессионального мастерства «Учитель года» в соответствии с решением Череповецкой городской Думы от 29.06.2010 № 128</v>
      </c>
      <c r="B750" s="26">
        <v>805</v>
      </c>
      <c r="C750" s="65" t="s">
        <v>60</v>
      </c>
      <c r="D750" s="65" t="s">
        <v>71</v>
      </c>
      <c r="E750" s="26" t="s">
        <v>230</v>
      </c>
      <c r="F750" s="26"/>
      <c r="G750" s="67">
        <f t="shared" si="144"/>
        <v>32.6</v>
      </c>
      <c r="H750" s="67">
        <f t="shared" si="144"/>
        <v>0</v>
      </c>
      <c r="I750" s="67">
        <f t="shared" si="140"/>
        <v>32.6</v>
      </c>
      <c r="J750" s="67">
        <f t="shared" si="144"/>
        <v>0</v>
      </c>
      <c r="K750" s="67">
        <f t="shared" si="138"/>
        <v>32.6</v>
      </c>
      <c r="L750" s="67">
        <f t="shared" si="144"/>
        <v>0</v>
      </c>
      <c r="M750" s="67">
        <f t="shared" si="139"/>
        <v>32.6</v>
      </c>
      <c r="N750" s="67">
        <f t="shared" si="144"/>
        <v>0</v>
      </c>
      <c r="O750" s="67">
        <f t="shared" si="141"/>
        <v>32.6</v>
      </c>
    </row>
    <row r="751" spans="1:15" ht="20.25" customHeight="1" x14ac:dyDescent="0.2">
      <c r="A751" s="64" t="str">
        <f ca="1">IF(ISERROR(MATCH(F751,Код_КВР,0)),"",INDIRECT(ADDRESS(MATCH(F751,Код_КВР,0)+1,2,,,"КВР")))</f>
        <v>Социальное обеспечение и иные выплаты населению</v>
      </c>
      <c r="B751" s="26">
        <v>805</v>
      </c>
      <c r="C751" s="65" t="s">
        <v>60</v>
      </c>
      <c r="D751" s="65" t="s">
        <v>71</v>
      </c>
      <c r="E751" s="26" t="s">
        <v>230</v>
      </c>
      <c r="F751" s="26">
        <v>300</v>
      </c>
      <c r="G751" s="67">
        <f t="shared" si="144"/>
        <v>32.6</v>
      </c>
      <c r="H751" s="67">
        <f t="shared" si="144"/>
        <v>0</v>
      </c>
      <c r="I751" s="67">
        <f t="shared" si="140"/>
        <v>32.6</v>
      </c>
      <c r="J751" s="67">
        <f t="shared" si="144"/>
        <v>0</v>
      </c>
      <c r="K751" s="67">
        <f t="shared" si="138"/>
        <v>32.6</v>
      </c>
      <c r="L751" s="67">
        <f t="shared" si="144"/>
        <v>0</v>
      </c>
      <c r="M751" s="67">
        <f t="shared" si="139"/>
        <v>32.6</v>
      </c>
      <c r="N751" s="67">
        <f t="shared" si="144"/>
        <v>0</v>
      </c>
      <c r="O751" s="67">
        <f t="shared" si="141"/>
        <v>32.6</v>
      </c>
    </row>
    <row r="752" spans="1:15" ht="21" customHeight="1" x14ac:dyDescent="0.2">
      <c r="A752" s="64" t="str">
        <f ca="1">IF(ISERROR(MATCH(F752,Код_КВР,0)),"",INDIRECT(ADDRESS(MATCH(F752,Код_КВР,0)+1,2,,,"КВР")))</f>
        <v>Публичные нормативные выплаты гражданам несоциального характера</v>
      </c>
      <c r="B752" s="26">
        <v>805</v>
      </c>
      <c r="C752" s="65" t="s">
        <v>60</v>
      </c>
      <c r="D752" s="65" t="s">
        <v>71</v>
      </c>
      <c r="E752" s="26" t="s">
        <v>230</v>
      </c>
      <c r="F752" s="26">
        <v>330</v>
      </c>
      <c r="G752" s="67">
        <v>32.6</v>
      </c>
      <c r="H752" s="67"/>
      <c r="I752" s="67">
        <f t="shared" si="140"/>
        <v>32.6</v>
      </c>
      <c r="J752" s="67"/>
      <c r="K752" s="67">
        <f t="shared" si="138"/>
        <v>32.6</v>
      </c>
      <c r="L752" s="67"/>
      <c r="M752" s="67">
        <f t="shared" si="139"/>
        <v>32.6</v>
      </c>
      <c r="N752" s="67"/>
      <c r="O752" s="67">
        <f t="shared" si="141"/>
        <v>32.6</v>
      </c>
    </row>
    <row r="753" spans="1:15" ht="33" x14ac:dyDescent="0.2">
      <c r="A753" s="52" t="str">
        <f ca="1">IF(ISERROR(MATCH(E753,Код_КЦСР,0)),"",INDIRECT(ADDRESS(MATCH(E753,Код_КЦСР,0)+1,2,,,"КЦСР")))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753" s="25">
        <v>805</v>
      </c>
      <c r="C753" s="87" t="s">
        <v>60</v>
      </c>
      <c r="D753" s="87" t="s">
        <v>71</v>
      </c>
      <c r="E753" s="25" t="s">
        <v>231</v>
      </c>
      <c r="F753" s="25"/>
      <c r="G753" s="88">
        <f>G754+G757</f>
        <v>5516.2</v>
      </c>
      <c r="H753" s="88">
        <f>H754+H757</f>
        <v>0</v>
      </c>
      <c r="I753" s="67">
        <f t="shared" si="140"/>
        <v>5516.2</v>
      </c>
      <c r="J753" s="88">
        <f>J754+J757</f>
        <v>0</v>
      </c>
      <c r="K753" s="67">
        <f t="shared" si="138"/>
        <v>5516.2</v>
      </c>
      <c r="L753" s="88">
        <f>L754+L757</f>
        <v>620</v>
      </c>
      <c r="M753" s="67">
        <f t="shared" si="139"/>
        <v>6136.2</v>
      </c>
      <c r="N753" s="88">
        <f>N754+N757+N767+N760</f>
        <v>140000</v>
      </c>
      <c r="O753" s="67">
        <f t="shared" si="141"/>
        <v>146136.20000000001</v>
      </c>
    </row>
    <row r="754" spans="1:15" ht="22.5" customHeight="1" x14ac:dyDescent="0.2">
      <c r="A754" s="52" t="str">
        <f ca="1">IF(ISERROR(MATCH(E754,Код_КЦСР,0)),"",INDIRECT(ADDRESS(MATCH(E754,Код_КЦСР,0)+1,2,,,"КЦСР")))</f>
        <v>Текущие ремонты и работы по благоустройству территорий</v>
      </c>
      <c r="B754" s="25">
        <v>805</v>
      </c>
      <c r="C754" s="87" t="s">
        <v>60</v>
      </c>
      <c r="D754" s="87" t="s">
        <v>71</v>
      </c>
      <c r="E754" s="25" t="s">
        <v>439</v>
      </c>
      <c r="F754" s="25"/>
      <c r="G754" s="88">
        <f>G755</f>
        <v>4650</v>
      </c>
      <c r="H754" s="88">
        <f>H755</f>
        <v>0</v>
      </c>
      <c r="I754" s="67">
        <f t="shared" si="140"/>
        <v>4650</v>
      </c>
      <c r="J754" s="88">
        <f>J755</f>
        <v>0</v>
      </c>
      <c r="K754" s="67">
        <f t="shared" si="138"/>
        <v>4650</v>
      </c>
      <c r="L754" s="88">
        <f>L755</f>
        <v>620</v>
      </c>
      <c r="M754" s="67">
        <f t="shared" si="139"/>
        <v>5270</v>
      </c>
      <c r="N754" s="88">
        <f>N755</f>
        <v>0</v>
      </c>
      <c r="O754" s="67">
        <f t="shared" si="141"/>
        <v>5270</v>
      </c>
    </row>
    <row r="755" spans="1:15" ht="33" x14ac:dyDescent="0.2">
      <c r="A755" s="52" t="str">
        <f ca="1">IF(ISERROR(MATCH(F755,Код_КВР,0)),"",INDIRECT(ADDRESS(MATCH(F755,Код_КВР,0)+1,2,,,"КВР")))</f>
        <v>Предоставление субсидий бюджетным, автономным учреждениям и иным некоммерческим организациям</v>
      </c>
      <c r="B755" s="25">
        <v>805</v>
      </c>
      <c r="C755" s="87" t="s">
        <v>60</v>
      </c>
      <c r="D755" s="87" t="s">
        <v>71</v>
      </c>
      <c r="E755" s="25" t="s">
        <v>439</v>
      </c>
      <c r="F755" s="25">
        <v>600</v>
      </c>
      <c r="G755" s="88">
        <f>G756</f>
        <v>4650</v>
      </c>
      <c r="H755" s="88">
        <f>H756</f>
        <v>0</v>
      </c>
      <c r="I755" s="67">
        <f t="shared" si="140"/>
        <v>4650</v>
      </c>
      <c r="J755" s="88">
        <f>J756</f>
        <v>0</v>
      </c>
      <c r="K755" s="67">
        <f t="shared" si="138"/>
        <v>4650</v>
      </c>
      <c r="L755" s="88">
        <f>L756</f>
        <v>620</v>
      </c>
      <c r="M755" s="67">
        <f t="shared" si="139"/>
        <v>5270</v>
      </c>
      <c r="N755" s="88">
        <f>N756</f>
        <v>0</v>
      </c>
      <c r="O755" s="67">
        <f t="shared" si="141"/>
        <v>5270</v>
      </c>
    </row>
    <row r="756" spans="1:15" x14ac:dyDescent="0.2">
      <c r="A756" s="52" t="str">
        <f ca="1">IF(ISERROR(MATCH(F756,Код_КВР,0)),"",INDIRECT(ADDRESS(MATCH(F756,Код_КВР,0)+1,2,,,"КВР")))</f>
        <v>Субсидии бюджетным учреждениям</v>
      </c>
      <c r="B756" s="25">
        <v>805</v>
      </c>
      <c r="C756" s="87" t="s">
        <v>60</v>
      </c>
      <c r="D756" s="87" t="s">
        <v>71</v>
      </c>
      <c r="E756" s="25" t="s">
        <v>439</v>
      </c>
      <c r="F756" s="25">
        <v>610</v>
      </c>
      <c r="G756" s="88">
        <v>4650</v>
      </c>
      <c r="H756" s="88"/>
      <c r="I756" s="67">
        <f t="shared" si="140"/>
        <v>4650</v>
      </c>
      <c r="J756" s="88"/>
      <c r="K756" s="67">
        <f t="shared" ref="K756:K833" si="145">I756+J756</f>
        <v>4650</v>
      </c>
      <c r="L756" s="88">
        <v>620</v>
      </c>
      <c r="M756" s="67">
        <f t="shared" ref="M756:M833" si="146">K756+L756</f>
        <v>5270</v>
      </c>
      <c r="N756" s="88"/>
      <c r="O756" s="67">
        <f t="shared" si="141"/>
        <v>5270</v>
      </c>
    </row>
    <row r="757" spans="1:15" ht="33" x14ac:dyDescent="0.2">
      <c r="A757" s="64" t="str">
        <f ca="1">IF(ISERROR(MATCH(E757,Код_КЦСР,0)),"",INDIRECT(ADDRESS(MATCH(E757,Код_КЦСР,0)+1,2,,,"КЦСР")))</f>
        <v>Оборудование, мебель, малые архитектурные формы для образовательных учреждений</v>
      </c>
      <c r="B757" s="26">
        <v>805</v>
      </c>
      <c r="C757" s="65" t="s">
        <v>60</v>
      </c>
      <c r="D757" s="65" t="s">
        <v>71</v>
      </c>
      <c r="E757" s="26" t="s">
        <v>441</v>
      </c>
      <c r="F757" s="26"/>
      <c r="G757" s="66">
        <f>G758</f>
        <v>866.2</v>
      </c>
      <c r="H757" s="66">
        <f>H758</f>
        <v>0</v>
      </c>
      <c r="I757" s="67">
        <f t="shared" si="140"/>
        <v>866.2</v>
      </c>
      <c r="J757" s="66">
        <f>J758</f>
        <v>0</v>
      </c>
      <c r="K757" s="67">
        <f t="shared" si="145"/>
        <v>866.2</v>
      </c>
      <c r="L757" s="66">
        <f>L758</f>
        <v>0</v>
      </c>
      <c r="M757" s="67">
        <f t="shared" si="146"/>
        <v>866.2</v>
      </c>
      <c r="N757" s="66">
        <f>N758</f>
        <v>0</v>
      </c>
      <c r="O757" s="67">
        <f t="shared" si="141"/>
        <v>866.2</v>
      </c>
    </row>
    <row r="758" spans="1:15" ht="33" x14ac:dyDescent="0.2">
      <c r="A758" s="64" t="str">
        <f ca="1">IF(ISERROR(MATCH(F758,Код_КВР,0)),"",INDIRECT(ADDRESS(MATCH(F758,Код_КВР,0)+1,2,,,"КВР")))</f>
        <v>Предоставление субсидий бюджетным, автономным учреждениям и иным некоммерческим организациям</v>
      </c>
      <c r="B758" s="26">
        <v>805</v>
      </c>
      <c r="C758" s="65" t="s">
        <v>60</v>
      </c>
      <c r="D758" s="65" t="s">
        <v>71</v>
      </c>
      <c r="E758" s="26" t="s">
        <v>441</v>
      </c>
      <c r="F758" s="26">
        <v>600</v>
      </c>
      <c r="G758" s="66">
        <f>G759</f>
        <v>866.2</v>
      </c>
      <c r="H758" s="66">
        <f>H759</f>
        <v>0</v>
      </c>
      <c r="I758" s="67">
        <f t="shared" si="140"/>
        <v>866.2</v>
      </c>
      <c r="J758" s="66">
        <f>J759</f>
        <v>0</v>
      </c>
      <c r="K758" s="67">
        <f t="shared" si="145"/>
        <v>866.2</v>
      </c>
      <c r="L758" s="66">
        <f>L759</f>
        <v>0</v>
      </c>
      <c r="M758" s="67">
        <f t="shared" si="146"/>
        <v>866.2</v>
      </c>
      <c r="N758" s="66">
        <f>N759</f>
        <v>0</v>
      </c>
      <c r="O758" s="67">
        <f t="shared" si="141"/>
        <v>866.2</v>
      </c>
    </row>
    <row r="759" spans="1:15" x14ac:dyDescent="0.2">
      <c r="A759" s="64" t="str">
        <f ca="1">IF(ISERROR(MATCH(F759,Код_КВР,0)),"",INDIRECT(ADDRESS(MATCH(F759,Код_КВР,0)+1,2,,,"КВР")))</f>
        <v>Субсидии бюджетным учреждениям</v>
      </c>
      <c r="B759" s="26">
        <v>805</v>
      </c>
      <c r="C759" s="65" t="s">
        <v>60</v>
      </c>
      <c r="D759" s="65" t="s">
        <v>71</v>
      </c>
      <c r="E759" s="26" t="s">
        <v>441</v>
      </c>
      <c r="F759" s="26">
        <v>610</v>
      </c>
      <c r="G759" s="66">
        <v>866.2</v>
      </c>
      <c r="H759" s="66"/>
      <c r="I759" s="67">
        <f t="shared" si="140"/>
        <v>866.2</v>
      </c>
      <c r="J759" s="66"/>
      <c r="K759" s="67">
        <f t="shared" si="145"/>
        <v>866.2</v>
      </c>
      <c r="L759" s="66"/>
      <c r="M759" s="67">
        <f t="shared" si="146"/>
        <v>866.2</v>
      </c>
      <c r="N759" s="66"/>
      <c r="O759" s="67">
        <f t="shared" si="141"/>
        <v>866.2</v>
      </c>
    </row>
    <row r="760" spans="1:15" ht="50.25" customHeight="1" x14ac:dyDescent="0.2">
      <c r="A760" s="64" t="str">
        <f ca="1">IF(ISERROR(MATCH(E760,Код_КЦСР,0)),"",INDIRECT(ADDRESS(MATCH(E760,Код_КЦСР,0)+1,2,,,"КЦСР")))</f>
        <v>Открытие групп на базе функционирующих, строящихся дошкольных учреждений, открытие новых общеобразовательных учреждений</v>
      </c>
      <c r="B760" s="26">
        <v>805</v>
      </c>
      <c r="C760" s="65" t="s">
        <v>60</v>
      </c>
      <c r="D760" s="65" t="s">
        <v>71</v>
      </c>
      <c r="E760" s="26" t="s">
        <v>517</v>
      </c>
      <c r="F760" s="26"/>
      <c r="G760" s="66"/>
      <c r="H760" s="66"/>
      <c r="I760" s="67"/>
      <c r="J760" s="66"/>
      <c r="K760" s="67"/>
      <c r="L760" s="66"/>
      <c r="M760" s="67"/>
      <c r="N760" s="66">
        <f>N761+N764</f>
        <v>138000</v>
      </c>
      <c r="O760" s="67">
        <f t="shared" si="141"/>
        <v>138000</v>
      </c>
    </row>
    <row r="761" spans="1:15" ht="50.25" customHeight="1" x14ac:dyDescent="0.2">
      <c r="A761" s="64" t="str">
        <f ca="1">IF(ISERROR(MATCH(E761,Код_КЦСР,0)),"",INDIRECT(ADDRESS(MATCH(E761,Код_КЦСР,0)+1,2,,,"КЦСР")))</f>
        <v>Открытие групп на базе функционирующих, строящихся дошкольных учреждений, открытие новых общеобразовательных учреждений, в рамках софинансирования</v>
      </c>
      <c r="B761" s="26">
        <v>805</v>
      </c>
      <c r="C761" s="65" t="s">
        <v>60</v>
      </c>
      <c r="D761" s="65" t="s">
        <v>71</v>
      </c>
      <c r="E761" s="26" t="s">
        <v>731</v>
      </c>
      <c r="F761" s="26"/>
      <c r="G761" s="66"/>
      <c r="H761" s="66"/>
      <c r="I761" s="67"/>
      <c r="J761" s="66"/>
      <c r="K761" s="67"/>
      <c r="L761" s="66"/>
      <c r="M761" s="67"/>
      <c r="N761" s="66">
        <f>N762</f>
        <v>25804.9</v>
      </c>
      <c r="O761" s="67">
        <f t="shared" si="141"/>
        <v>25804.9</v>
      </c>
    </row>
    <row r="762" spans="1:15" ht="56.25" customHeight="1" x14ac:dyDescent="0.2">
      <c r="A762" s="64" t="str">
        <f ca="1">IF(ISERROR(MATCH(F762,Код_КВР,0)),"",INDIRECT(ADDRESS(MATCH(F762,Код_КВР,0)+1,2,,,"КВР")))</f>
        <v>Предоставление субсидий бюджетным, автономным учреждениям и иным некоммерческим организациям</v>
      </c>
      <c r="B762" s="26">
        <v>805</v>
      </c>
      <c r="C762" s="65" t="s">
        <v>60</v>
      </c>
      <c r="D762" s="65" t="s">
        <v>71</v>
      </c>
      <c r="E762" s="26" t="s">
        <v>731</v>
      </c>
      <c r="F762" s="26">
        <v>600</v>
      </c>
      <c r="G762" s="66"/>
      <c r="H762" s="66"/>
      <c r="I762" s="67"/>
      <c r="J762" s="66"/>
      <c r="K762" s="67"/>
      <c r="L762" s="66"/>
      <c r="M762" s="67"/>
      <c r="N762" s="66">
        <f>N763</f>
        <v>25804.9</v>
      </c>
      <c r="O762" s="67">
        <f t="shared" si="141"/>
        <v>25804.9</v>
      </c>
    </row>
    <row r="763" spans="1:15" ht="34.5" customHeight="1" x14ac:dyDescent="0.2">
      <c r="A763" s="64" t="str">
        <f ca="1">IF(ISERROR(MATCH(F763,Код_КВР,0)),"",INDIRECT(ADDRESS(MATCH(F763,Код_КВР,0)+1,2,,,"КВР")))</f>
        <v>Субсидии бюджетным учреждениям</v>
      </c>
      <c r="B763" s="26">
        <v>805</v>
      </c>
      <c r="C763" s="65" t="s">
        <v>60</v>
      </c>
      <c r="D763" s="65" t="s">
        <v>71</v>
      </c>
      <c r="E763" s="26" t="s">
        <v>731</v>
      </c>
      <c r="F763" s="26">
        <v>610</v>
      </c>
      <c r="G763" s="66"/>
      <c r="H763" s="66"/>
      <c r="I763" s="67"/>
      <c r="J763" s="66"/>
      <c r="K763" s="67"/>
      <c r="L763" s="66"/>
      <c r="M763" s="67"/>
      <c r="N763" s="66">
        <v>25804.9</v>
      </c>
      <c r="O763" s="67">
        <f t="shared" si="141"/>
        <v>25804.9</v>
      </c>
    </row>
    <row r="764" spans="1:15" ht="62.25" customHeight="1" x14ac:dyDescent="0.2">
      <c r="A764" s="64" t="str">
        <f ca="1">IF(ISERROR(MATCH(E764,Код_КЦСР,0)),"",INDIRECT(ADDRESS(MATCH(E764,Код_КЦСР,0)+1,2,,,"КЦСР")))</f>
        <v>Открытие групп на базе функционирующих, строящихся дошкольных учреждений, открытие новых общеобразовательных учреждений, за счет средств вышестоящих бюджетов</v>
      </c>
      <c r="B764" s="26">
        <v>805</v>
      </c>
      <c r="C764" s="65" t="s">
        <v>60</v>
      </c>
      <c r="D764" s="65" t="s">
        <v>71</v>
      </c>
      <c r="E764" s="26" t="s">
        <v>730</v>
      </c>
      <c r="F764" s="26"/>
      <c r="G764" s="66"/>
      <c r="H764" s="66"/>
      <c r="I764" s="67"/>
      <c r="J764" s="66"/>
      <c r="K764" s="67"/>
      <c r="L764" s="66"/>
      <c r="M764" s="67"/>
      <c r="N764" s="66">
        <f>N765</f>
        <v>112195.1</v>
      </c>
      <c r="O764" s="67">
        <f t="shared" si="141"/>
        <v>112195.1</v>
      </c>
    </row>
    <row r="765" spans="1:15" ht="40.5" customHeight="1" x14ac:dyDescent="0.2">
      <c r="A765" s="64" t="str">
        <f ca="1">IF(ISERROR(MATCH(F765,Код_КВР,0)),"",INDIRECT(ADDRESS(MATCH(F765,Код_КВР,0)+1,2,,,"КВР")))</f>
        <v>Предоставление субсидий бюджетным, автономным учреждениям и иным некоммерческим организациям</v>
      </c>
      <c r="B765" s="26">
        <v>805</v>
      </c>
      <c r="C765" s="65" t="s">
        <v>60</v>
      </c>
      <c r="D765" s="65" t="s">
        <v>71</v>
      </c>
      <c r="E765" s="26" t="s">
        <v>730</v>
      </c>
      <c r="F765" s="26">
        <v>600</v>
      </c>
      <c r="G765" s="66"/>
      <c r="H765" s="66"/>
      <c r="I765" s="67"/>
      <c r="J765" s="66"/>
      <c r="K765" s="67"/>
      <c r="L765" s="66"/>
      <c r="M765" s="67"/>
      <c r="N765" s="66">
        <f>N766</f>
        <v>112195.1</v>
      </c>
      <c r="O765" s="67">
        <f t="shared" si="141"/>
        <v>112195.1</v>
      </c>
    </row>
    <row r="766" spans="1:15" ht="34.5" customHeight="1" x14ac:dyDescent="0.2">
      <c r="A766" s="64" t="str">
        <f ca="1">IF(ISERROR(MATCH(F766,Код_КВР,0)),"",INDIRECT(ADDRESS(MATCH(F766,Код_КВР,0)+1,2,,,"КВР")))</f>
        <v>Субсидии бюджетным учреждениям</v>
      </c>
      <c r="B766" s="26">
        <v>805</v>
      </c>
      <c r="C766" s="65" t="s">
        <v>60</v>
      </c>
      <c r="D766" s="65" t="s">
        <v>71</v>
      </c>
      <c r="E766" s="26" t="s">
        <v>730</v>
      </c>
      <c r="F766" s="26">
        <v>610</v>
      </c>
      <c r="G766" s="66"/>
      <c r="H766" s="66"/>
      <c r="I766" s="67"/>
      <c r="J766" s="66"/>
      <c r="K766" s="67"/>
      <c r="L766" s="66"/>
      <c r="M766" s="67"/>
      <c r="N766" s="66">
        <f>86390.2+25804.9</f>
        <v>112195.1</v>
      </c>
      <c r="O766" s="67">
        <f t="shared" si="141"/>
        <v>112195.1</v>
      </c>
    </row>
    <row r="767" spans="1:15" ht="42.75" customHeight="1" x14ac:dyDescent="0.2">
      <c r="A767" s="64" t="str">
        <f ca="1">IF(ISERROR(MATCH(E767,Код_КЦСР,0)),"",INDIRECT(ADDRESS(MATCH(E767,Код_КЦСР,0)+1,2,,,"КЦСР")))</f>
        <v>Строительство комплексных спортивных площадок на территории общеобразовательных учреждений</v>
      </c>
      <c r="B767" s="26">
        <v>805</v>
      </c>
      <c r="C767" s="65" t="s">
        <v>60</v>
      </c>
      <c r="D767" s="65" t="s">
        <v>71</v>
      </c>
      <c r="E767" s="26" t="s">
        <v>728</v>
      </c>
      <c r="F767" s="26"/>
      <c r="G767" s="66"/>
      <c r="H767" s="66"/>
      <c r="I767" s="67"/>
      <c r="J767" s="66"/>
      <c r="K767" s="67"/>
      <c r="L767" s="66"/>
      <c r="M767" s="67"/>
      <c r="N767" s="66">
        <f>N768</f>
        <v>2000</v>
      </c>
      <c r="O767" s="67">
        <f t="shared" si="141"/>
        <v>2000</v>
      </c>
    </row>
    <row r="768" spans="1:15" ht="33" x14ac:dyDescent="0.2">
      <c r="A768" s="64" t="str">
        <f ca="1">IF(ISERROR(MATCH(F768,Код_КВР,0)),"",INDIRECT(ADDRESS(MATCH(F768,Код_КВР,0)+1,2,,,"КВР")))</f>
        <v>Капитальные вложения в объекты государственной (муниципальной) собственности</v>
      </c>
      <c r="B768" s="26">
        <v>805</v>
      </c>
      <c r="C768" s="65" t="s">
        <v>60</v>
      </c>
      <c r="D768" s="65" t="s">
        <v>71</v>
      </c>
      <c r="E768" s="26" t="s">
        <v>728</v>
      </c>
      <c r="F768" s="26">
        <v>400</v>
      </c>
      <c r="G768" s="66"/>
      <c r="H768" s="66"/>
      <c r="I768" s="67"/>
      <c r="J768" s="66"/>
      <c r="K768" s="67"/>
      <c r="L768" s="66"/>
      <c r="M768" s="67"/>
      <c r="N768" s="66">
        <f>N769</f>
        <v>2000</v>
      </c>
      <c r="O768" s="67">
        <f t="shared" si="141"/>
        <v>2000</v>
      </c>
    </row>
    <row r="769" spans="1:15" ht="100.5" customHeight="1" x14ac:dyDescent="0.2">
      <c r="A769" s="64" t="str">
        <f ca="1">IF(ISERROR(MATCH(F769,Код_КВР,0)),"",INDIRECT(ADDRESS(MATCH(F769,Код_КВР,0)+1,2,,,"КВР")))</f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v>
      </c>
      <c r="B769" s="26">
        <v>805</v>
      </c>
      <c r="C769" s="65" t="s">
        <v>60</v>
      </c>
      <c r="D769" s="65" t="s">
        <v>71</v>
      </c>
      <c r="E769" s="26" t="s">
        <v>728</v>
      </c>
      <c r="F769" s="26">
        <v>460</v>
      </c>
      <c r="G769" s="66"/>
      <c r="H769" s="66"/>
      <c r="I769" s="67"/>
      <c r="J769" s="66"/>
      <c r="K769" s="67"/>
      <c r="L769" s="66"/>
      <c r="M769" s="67"/>
      <c r="N769" s="66">
        <v>2000</v>
      </c>
      <c r="O769" s="67">
        <f t="shared" si="141"/>
        <v>2000</v>
      </c>
    </row>
    <row r="770" spans="1:15" ht="33" x14ac:dyDescent="0.2">
      <c r="A770" s="64" t="str">
        <f ca="1">IF(ISERROR(MATCH(E770,Код_КЦСР,0)),"",INDIRECT(ADDRESS(MATCH(E770,Код_КЦСР,0)+1,2,,,"КЦСР")))</f>
        <v>Муниципальная программа «Охрана окружающей среды» на 2013 – 2022 годы</v>
      </c>
      <c r="B770" s="26">
        <v>805</v>
      </c>
      <c r="C770" s="65" t="s">
        <v>60</v>
      </c>
      <c r="D770" s="65" t="s">
        <v>71</v>
      </c>
      <c r="E770" s="26" t="s">
        <v>285</v>
      </c>
      <c r="F770" s="26"/>
      <c r="G770" s="66">
        <f t="shared" ref="G770:N772" si="147">G771</f>
        <v>152.9</v>
      </c>
      <c r="H770" s="66">
        <f t="shared" si="147"/>
        <v>0</v>
      </c>
      <c r="I770" s="67">
        <f t="shared" si="140"/>
        <v>152.9</v>
      </c>
      <c r="J770" s="66">
        <f t="shared" si="147"/>
        <v>0</v>
      </c>
      <c r="K770" s="67">
        <f t="shared" si="145"/>
        <v>152.9</v>
      </c>
      <c r="L770" s="66">
        <f t="shared" si="147"/>
        <v>0</v>
      </c>
      <c r="M770" s="67">
        <f t="shared" si="146"/>
        <v>152.9</v>
      </c>
      <c r="N770" s="66">
        <f t="shared" si="147"/>
        <v>0</v>
      </c>
      <c r="O770" s="67">
        <f t="shared" si="141"/>
        <v>152.9</v>
      </c>
    </row>
    <row r="771" spans="1:15" ht="33" x14ac:dyDescent="0.2">
      <c r="A771" s="64" t="str">
        <f ca="1">IF(ISERROR(MATCH(E771,Код_КЦСР,0)),"",INDIRECT(ADDRESS(MATCH(E771,Код_КЦСР,0)+1,2,,,"КЦСР")))</f>
        <v>Организация мероприятий по экологическому образованию и воспитанию населения</v>
      </c>
      <c r="B771" s="26">
        <v>805</v>
      </c>
      <c r="C771" s="65" t="s">
        <v>60</v>
      </c>
      <c r="D771" s="65" t="s">
        <v>71</v>
      </c>
      <c r="E771" s="26" t="s">
        <v>287</v>
      </c>
      <c r="F771" s="26"/>
      <c r="G771" s="66">
        <f t="shared" si="147"/>
        <v>152.9</v>
      </c>
      <c r="H771" s="66">
        <f t="shared" si="147"/>
        <v>0</v>
      </c>
      <c r="I771" s="67">
        <f t="shared" si="140"/>
        <v>152.9</v>
      </c>
      <c r="J771" s="66">
        <f t="shared" si="147"/>
        <v>0</v>
      </c>
      <c r="K771" s="67">
        <f t="shared" si="145"/>
        <v>152.9</v>
      </c>
      <c r="L771" s="66">
        <f t="shared" si="147"/>
        <v>0</v>
      </c>
      <c r="M771" s="67">
        <f t="shared" si="146"/>
        <v>152.9</v>
      </c>
      <c r="N771" s="66">
        <f t="shared" si="147"/>
        <v>0</v>
      </c>
      <c r="O771" s="67">
        <f t="shared" si="141"/>
        <v>152.9</v>
      </c>
    </row>
    <row r="772" spans="1:15" ht="33" x14ac:dyDescent="0.2">
      <c r="A772" s="64" t="str">
        <f ca="1">IF(ISERROR(MATCH(F772,Код_КВР,0)),"",INDIRECT(ADDRESS(MATCH(F772,Код_КВР,0)+1,2,,,"КВР")))</f>
        <v>Предоставление субсидий бюджетным, автономным учреждениям и иным некоммерческим организациям</v>
      </c>
      <c r="B772" s="26">
        <v>805</v>
      </c>
      <c r="C772" s="65" t="s">
        <v>60</v>
      </c>
      <c r="D772" s="65" t="s">
        <v>71</v>
      </c>
      <c r="E772" s="26" t="s">
        <v>287</v>
      </c>
      <c r="F772" s="26">
        <v>600</v>
      </c>
      <c r="G772" s="66">
        <f t="shared" si="147"/>
        <v>152.9</v>
      </c>
      <c r="H772" s="66">
        <f t="shared" si="147"/>
        <v>0</v>
      </c>
      <c r="I772" s="67">
        <f t="shared" si="140"/>
        <v>152.9</v>
      </c>
      <c r="J772" s="66">
        <f t="shared" si="147"/>
        <v>0</v>
      </c>
      <c r="K772" s="67">
        <f t="shared" si="145"/>
        <v>152.9</v>
      </c>
      <c r="L772" s="66">
        <f t="shared" si="147"/>
        <v>0</v>
      </c>
      <c r="M772" s="67">
        <f t="shared" si="146"/>
        <v>152.9</v>
      </c>
      <c r="N772" s="66">
        <f t="shared" si="147"/>
        <v>0</v>
      </c>
      <c r="O772" s="67">
        <f t="shared" si="141"/>
        <v>152.9</v>
      </c>
    </row>
    <row r="773" spans="1:15" x14ac:dyDescent="0.2">
      <c r="A773" s="64" t="str">
        <f ca="1">IF(ISERROR(MATCH(F773,Код_КВР,0)),"",INDIRECT(ADDRESS(MATCH(F773,Код_КВР,0)+1,2,,,"КВР")))</f>
        <v>Субсидии бюджетным учреждениям</v>
      </c>
      <c r="B773" s="26">
        <v>805</v>
      </c>
      <c r="C773" s="65" t="s">
        <v>60</v>
      </c>
      <c r="D773" s="65" t="s">
        <v>71</v>
      </c>
      <c r="E773" s="26" t="s">
        <v>287</v>
      </c>
      <c r="F773" s="26">
        <v>610</v>
      </c>
      <c r="G773" s="66">
        <v>152.9</v>
      </c>
      <c r="H773" s="66"/>
      <c r="I773" s="67">
        <f t="shared" si="140"/>
        <v>152.9</v>
      </c>
      <c r="J773" s="66"/>
      <c r="K773" s="67">
        <f t="shared" si="145"/>
        <v>152.9</v>
      </c>
      <c r="L773" s="66"/>
      <c r="M773" s="67">
        <f t="shared" si="146"/>
        <v>152.9</v>
      </c>
      <c r="N773" s="66"/>
      <c r="O773" s="67">
        <f t="shared" si="141"/>
        <v>152.9</v>
      </c>
    </row>
    <row r="774" spans="1:15" ht="33" x14ac:dyDescent="0.2">
      <c r="A774" s="64" t="str">
        <f ca="1">IF(ISERROR(MATCH(E774,Код_КЦСР,0)),"",INDIRECT(ADDRESS(MATCH(E774,Код_КЦСР,0)+1,2,,,"КЦСР")))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774" s="26">
        <v>805</v>
      </c>
      <c r="C774" s="65" t="s">
        <v>60</v>
      </c>
      <c r="D774" s="65" t="s">
        <v>71</v>
      </c>
      <c r="E774" s="26" t="s">
        <v>369</v>
      </c>
      <c r="F774" s="26"/>
      <c r="G774" s="66">
        <f>G775</f>
        <v>500</v>
      </c>
      <c r="H774" s="66">
        <f>H775</f>
        <v>0</v>
      </c>
      <c r="I774" s="67">
        <f t="shared" si="140"/>
        <v>500</v>
      </c>
      <c r="J774" s="66">
        <f>J775</f>
        <v>0</v>
      </c>
      <c r="K774" s="67">
        <f t="shared" si="145"/>
        <v>500</v>
      </c>
      <c r="L774" s="66">
        <f>L775</f>
        <v>0</v>
      </c>
      <c r="M774" s="67">
        <f t="shared" si="146"/>
        <v>500</v>
      </c>
      <c r="N774" s="66">
        <f>N775</f>
        <v>0</v>
      </c>
      <c r="O774" s="67">
        <f t="shared" si="141"/>
        <v>500</v>
      </c>
    </row>
    <row r="775" spans="1:15" x14ac:dyDescent="0.2">
      <c r="A775" s="64" t="str">
        <f ca="1">IF(ISERROR(MATCH(E775,Код_КЦСР,0)),"",INDIRECT(ADDRESS(MATCH(E775,Код_КЦСР,0)+1,2,,,"КЦСР")))</f>
        <v>Обеспечение пожарной безопасности муниципальных учреждений города</v>
      </c>
      <c r="B775" s="26">
        <v>805</v>
      </c>
      <c r="C775" s="65" t="s">
        <v>60</v>
      </c>
      <c r="D775" s="65" t="s">
        <v>71</v>
      </c>
      <c r="E775" s="26" t="s">
        <v>370</v>
      </c>
      <c r="F775" s="26"/>
      <c r="G775" s="66">
        <f>G776+G779+G782+G785</f>
        <v>500</v>
      </c>
      <c r="H775" s="66">
        <f>H776+H779+H782+H785</f>
        <v>0</v>
      </c>
      <c r="I775" s="67">
        <f t="shared" si="140"/>
        <v>500</v>
      </c>
      <c r="J775" s="66">
        <f>J776+J779+J782+J785</f>
        <v>0</v>
      </c>
      <c r="K775" s="67">
        <f t="shared" si="145"/>
        <v>500</v>
      </c>
      <c r="L775" s="66">
        <f>L776+L779+L782+L785</f>
        <v>0</v>
      </c>
      <c r="M775" s="67">
        <f t="shared" si="146"/>
        <v>500</v>
      </c>
      <c r="N775" s="66">
        <f>N776+N779+N782+N785</f>
        <v>0</v>
      </c>
      <c r="O775" s="67">
        <f t="shared" si="141"/>
        <v>500</v>
      </c>
    </row>
    <row r="776" spans="1:15" ht="33" x14ac:dyDescent="0.2">
      <c r="A776" s="73" t="str">
        <f ca="1">IF(ISERROR(MATCH(E776,Код_КЦСР,0)),"",INDIRECT(ADDRESS(MATCH(E776,Код_КЦСР,0)+1,2,,,"КЦСР")))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776" s="26">
        <v>805</v>
      </c>
      <c r="C776" s="65" t="s">
        <v>60</v>
      </c>
      <c r="D776" s="65" t="s">
        <v>71</v>
      </c>
      <c r="E776" s="26" t="s">
        <v>371</v>
      </c>
      <c r="F776" s="26"/>
      <c r="G776" s="66">
        <f>G777</f>
        <v>500</v>
      </c>
      <c r="H776" s="66">
        <f>H777</f>
        <v>0</v>
      </c>
      <c r="I776" s="67">
        <f t="shared" si="140"/>
        <v>500</v>
      </c>
      <c r="J776" s="66">
        <f>J777</f>
        <v>0</v>
      </c>
      <c r="K776" s="67">
        <f t="shared" si="145"/>
        <v>500</v>
      </c>
      <c r="L776" s="66">
        <f>L777</f>
        <v>0</v>
      </c>
      <c r="M776" s="67">
        <f t="shared" si="146"/>
        <v>500</v>
      </c>
      <c r="N776" s="66">
        <f>N777</f>
        <v>0</v>
      </c>
      <c r="O776" s="67">
        <f t="shared" si="141"/>
        <v>500</v>
      </c>
    </row>
    <row r="777" spans="1:15" ht="33" x14ac:dyDescent="0.2">
      <c r="A777" s="64" t="str">
        <f ca="1">IF(ISERROR(MATCH(F777,Код_КВР,0)),"",INDIRECT(ADDRESS(MATCH(F777,Код_КВР,0)+1,2,,,"КВР")))</f>
        <v>Предоставление субсидий бюджетным, автономным учреждениям и иным некоммерческим организациям</v>
      </c>
      <c r="B777" s="26">
        <v>805</v>
      </c>
      <c r="C777" s="65" t="s">
        <v>60</v>
      </c>
      <c r="D777" s="65" t="s">
        <v>71</v>
      </c>
      <c r="E777" s="26" t="s">
        <v>371</v>
      </c>
      <c r="F777" s="26">
        <v>600</v>
      </c>
      <c r="G777" s="66">
        <f>G778</f>
        <v>500</v>
      </c>
      <c r="H777" s="66">
        <f>H778</f>
        <v>0</v>
      </c>
      <c r="I777" s="67">
        <f t="shared" si="140"/>
        <v>500</v>
      </c>
      <c r="J777" s="66">
        <f>J778</f>
        <v>0</v>
      </c>
      <c r="K777" s="67">
        <f t="shared" si="145"/>
        <v>500</v>
      </c>
      <c r="L777" s="66">
        <f>L778</f>
        <v>0</v>
      </c>
      <c r="M777" s="67">
        <f t="shared" si="146"/>
        <v>500</v>
      </c>
      <c r="N777" s="66">
        <f>N778</f>
        <v>0</v>
      </c>
      <c r="O777" s="67">
        <f t="shared" si="141"/>
        <v>500</v>
      </c>
    </row>
    <row r="778" spans="1:15" x14ac:dyDescent="0.2">
      <c r="A778" s="64" t="str">
        <f ca="1">IF(ISERROR(MATCH(F778,Код_КВР,0)),"",INDIRECT(ADDRESS(MATCH(F778,Код_КВР,0)+1,2,,,"КВР")))</f>
        <v>Субсидии бюджетным учреждениям</v>
      </c>
      <c r="B778" s="26">
        <v>805</v>
      </c>
      <c r="C778" s="65" t="s">
        <v>60</v>
      </c>
      <c r="D778" s="65" t="s">
        <v>71</v>
      </c>
      <c r="E778" s="26" t="s">
        <v>371</v>
      </c>
      <c r="F778" s="26">
        <v>610</v>
      </c>
      <c r="G778" s="66">
        <v>500</v>
      </c>
      <c r="H778" s="66"/>
      <c r="I778" s="67">
        <f t="shared" si="140"/>
        <v>500</v>
      </c>
      <c r="J778" s="66"/>
      <c r="K778" s="67">
        <f t="shared" si="145"/>
        <v>500</v>
      </c>
      <c r="L778" s="66"/>
      <c r="M778" s="67">
        <f t="shared" si="146"/>
        <v>500</v>
      </c>
      <c r="N778" s="66"/>
      <c r="O778" s="67">
        <f t="shared" si="141"/>
        <v>500</v>
      </c>
    </row>
    <row r="779" spans="1:15" hidden="1" x14ac:dyDescent="0.2">
      <c r="A779" s="64" t="str">
        <f ca="1">IF(ISERROR(MATCH(E779,Код_КЦСР,0)),"",INDIRECT(ADDRESS(MATCH(E779,Код_КЦСР,0)+1,2,,,"КЦСР")))</f>
        <v>Ремонт и оборудование эвакуационных путей зданий</v>
      </c>
      <c r="B779" s="26">
        <v>805</v>
      </c>
      <c r="C779" s="65" t="s">
        <v>60</v>
      </c>
      <c r="D779" s="65" t="s">
        <v>71</v>
      </c>
      <c r="E779" s="26" t="s">
        <v>372</v>
      </c>
      <c r="F779" s="26"/>
      <c r="G779" s="66">
        <f>G780</f>
        <v>0</v>
      </c>
      <c r="H779" s="66">
        <f>H780</f>
        <v>0</v>
      </c>
      <c r="I779" s="67">
        <f t="shared" si="140"/>
        <v>0</v>
      </c>
      <c r="J779" s="66">
        <f>J780</f>
        <v>0</v>
      </c>
      <c r="K779" s="67">
        <f t="shared" si="145"/>
        <v>0</v>
      </c>
      <c r="L779" s="66">
        <f>L780</f>
        <v>0</v>
      </c>
      <c r="M779" s="67">
        <f t="shared" si="146"/>
        <v>0</v>
      </c>
      <c r="N779" s="66">
        <f>N780</f>
        <v>0</v>
      </c>
      <c r="O779" s="67">
        <f t="shared" si="141"/>
        <v>0</v>
      </c>
    </row>
    <row r="780" spans="1:15" ht="33" hidden="1" x14ac:dyDescent="0.2">
      <c r="A780" s="64" t="str">
        <f ca="1">IF(ISERROR(MATCH(F780,Код_КВР,0)),"",INDIRECT(ADDRESS(MATCH(F780,Код_КВР,0)+1,2,,,"КВР")))</f>
        <v>Предоставление субсидий бюджетным, автономным учреждениям и иным некоммерческим организациям</v>
      </c>
      <c r="B780" s="26">
        <v>805</v>
      </c>
      <c r="C780" s="65" t="s">
        <v>60</v>
      </c>
      <c r="D780" s="65" t="s">
        <v>71</v>
      </c>
      <c r="E780" s="26" t="s">
        <v>372</v>
      </c>
      <c r="F780" s="26">
        <v>600</v>
      </c>
      <c r="G780" s="66">
        <f>G781</f>
        <v>0</v>
      </c>
      <c r="H780" s="66">
        <f>H781</f>
        <v>0</v>
      </c>
      <c r="I780" s="67">
        <f t="shared" si="140"/>
        <v>0</v>
      </c>
      <c r="J780" s="66">
        <f>J781</f>
        <v>0</v>
      </c>
      <c r="K780" s="67">
        <f t="shared" si="145"/>
        <v>0</v>
      </c>
      <c r="L780" s="66">
        <f>L781</f>
        <v>0</v>
      </c>
      <c r="M780" s="67">
        <f t="shared" si="146"/>
        <v>0</v>
      </c>
      <c r="N780" s="66">
        <f>N781</f>
        <v>0</v>
      </c>
      <c r="O780" s="67">
        <f t="shared" si="141"/>
        <v>0</v>
      </c>
    </row>
    <row r="781" spans="1:15" hidden="1" x14ac:dyDescent="0.2">
      <c r="A781" s="64" t="str">
        <f ca="1">IF(ISERROR(MATCH(F781,Код_КВР,0)),"",INDIRECT(ADDRESS(MATCH(F781,Код_КВР,0)+1,2,,,"КВР")))</f>
        <v>Субсидии бюджетным учреждениям</v>
      </c>
      <c r="B781" s="26">
        <v>805</v>
      </c>
      <c r="C781" s="65" t="s">
        <v>60</v>
      </c>
      <c r="D781" s="65" t="s">
        <v>71</v>
      </c>
      <c r="E781" s="26" t="s">
        <v>372</v>
      </c>
      <c r="F781" s="26">
        <v>610</v>
      </c>
      <c r="G781" s="66"/>
      <c r="H781" s="66"/>
      <c r="I781" s="67">
        <f t="shared" si="140"/>
        <v>0</v>
      </c>
      <c r="J781" s="66"/>
      <c r="K781" s="67">
        <f t="shared" si="145"/>
        <v>0</v>
      </c>
      <c r="L781" s="66"/>
      <c r="M781" s="67">
        <f t="shared" si="146"/>
        <v>0</v>
      </c>
      <c r="N781" s="66"/>
      <c r="O781" s="67">
        <f t="shared" si="141"/>
        <v>0</v>
      </c>
    </row>
    <row r="782" spans="1:15" hidden="1" x14ac:dyDescent="0.2">
      <c r="A782" s="64" t="str">
        <f ca="1">IF(ISERROR(MATCH(E782,Код_КЦСР,0)),"",INDIRECT(ADDRESS(MATCH(E782,Код_КЦСР,0)+1,2,,,"КЦСР")))</f>
        <v>Ремонт и испытание наружных пожарных лестниц</v>
      </c>
      <c r="B782" s="26">
        <v>805</v>
      </c>
      <c r="C782" s="65" t="s">
        <v>60</v>
      </c>
      <c r="D782" s="65" t="s">
        <v>71</v>
      </c>
      <c r="E782" s="26" t="s">
        <v>375</v>
      </c>
      <c r="F782" s="26"/>
      <c r="G782" s="66">
        <f>G783</f>
        <v>0</v>
      </c>
      <c r="H782" s="66">
        <f>H783</f>
        <v>0</v>
      </c>
      <c r="I782" s="67">
        <f t="shared" si="140"/>
        <v>0</v>
      </c>
      <c r="J782" s="66">
        <f>J783</f>
        <v>0</v>
      </c>
      <c r="K782" s="67">
        <f t="shared" si="145"/>
        <v>0</v>
      </c>
      <c r="L782" s="66">
        <f>L783</f>
        <v>0</v>
      </c>
      <c r="M782" s="67">
        <f t="shared" si="146"/>
        <v>0</v>
      </c>
      <c r="N782" s="66">
        <f>N783</f>
        <v>0</v>
      </c>
      <c r="O782" s="67">
        <f t="shared" si="141"/>
        <v>0</v>
      </c>
    </row>
    <row r="783" spans="1:15" ht="33" hidden="1" x14ac:dyDescent="0.2">
      <c r="A783" s="64" t="str">
        <f ca="1">IF(ISERROR(MATCH(F783,Код_КВР,0)),"",INDIRECT(ADDRESS(MATCH(F783,Код_КВР,0)+1,2,,,"КВР")))</f>
        <v>Предоставление субсидий бюджетным, автономным учреждениям и иным некоммерческим организациям</v>
      </c>
      <c r="B783" s="26">
        <v>805</v>
      </c>
      <c r="C783" s="65" t="s">
        <v>60</v>
      </c>
      <c r="D783" s="65" t="s">
        <v>71</v>
      </c>
      <c r="E783" s="26" t="s">
        <v>375</v>
      </c>
      <c r="F783" s="26">
        <v>600</v>
      </c>
      <c r="G783" s="66">
        <f>G784</f>
        <v>0</v>
      </c>
      <c r="H783" s="66">
        <f>H784</f>
        <v>0</v>
      </c>
      <c r="I783" s="67">
        <f t="shared" si="140"/>
        <v>0</v>
      </c>
      <c r="J783" s="66">
        <f>J784</f>
        <v>0</v>
      </c>
      <c r="K783" s="67">
        <f t="shared" si="145"/>
        <v>0</v>
      </c>
      <c r="L783" s="66">
        <f>L784</f>
        <v>0</v>
      </c>
      <c r="M783" s="67">
        <f t="shared" si="146"/>
        <v>0</v>
      </c>
      <c r="N783" s="66">
        <f>N784</f>
        <v>0</v>
      </c>
      <c r="O783" s="67">
        <f t="shared" si="141"/>
        <v>0</v>
      </c>
    </row>
    <row r="784" spans="1:15" hidden="1" x14ac:dyDescent="0.2">
      <c r="A784" s="64" t="str">
        <f ca="1">IF(ISERROR(MATCH(F784,Код_КВР,0)),"",INDIRECT(ADDRESS(MATCH(F784,Код_КВР,0)+1,2,,,"КВР")))</f>
        <v>Субсидии бюджетным учреждениям</v>
      </c>
      <c r="B784" s="26">
        <v>805</v>
      </c>
      <c r="C784" s="65" t="s">
        <v>60</v>
      </c>
      <c r="D784" s="65" t="s">
        <v>71</v>
      </c>
      <c r="E784" s="26" t="s">
        <v>375</v>
      </c>
      <c r="F784" s="26">
        <v>610</v>
      </c>
      <c r="G784" s="66"/>
      <c r="H784" s="66"/>
      <c r="I784" s="67">
        <f t="shared" si="140"/>
        <v>0</v>
      </c>
      <c r="J784" s="66"/>
      <c r="K784" s="67">
        <f t="shared" si="145"/>
        <v>0</v>
      </c>
      <c r="L784" s="66"/>
      <c r="M784" s="67">
        <f t="shared" si="146"/>
        <v>0</v>
      </c>
      <c r="N784" s="66"/>
      <c r="O784" s="67">
        <f t="shared" si="141"/>
        <v>0</v>
      </c>
    </row>
    <row r="785" spans="1:15" ht="33" hidden="1" x14ac:dyDescent="0.2">
      <c r="A785" s="64" t="str">
        <f ca="1">IF(ISERROR(MATCH(E785,Код_КЦСР,0)),"",INDIRECT(ADDRESS(MATCH(E785,Код_КЦСР,0)+1,2,,,"КЦСР")))</f>
        <v>Огнезащитная обработка деревянных и металлических конструкций зданий, декорации и одежды сцены. Проведение экспертизы</v>
      </c>
      <c r="B785" s="26">
        <v>805</v>
      </c>
      <c r="C785" s="65" t="s">
        <v>60</v>
      </c>
      <c r="D785" s="65" t="s">
        <v>71</v>
      </c>
      <c r="E785" s="26" t="s">
        <v>376</v>
      </c>
      <c r="F785" s="26"/>
      <c r="G785" s="66">
        <f>G786</f>
        <v>0</v>
      </c>
      <c r="H785" s="66">
        <f>H786</f>
        <v>0</v>
      </c>
      <c r="I785" s="67">
        <f t="shared" si="140"/>
        <v>0</v>
      </c>
      <c r="J785" s="66">
        <f>J786</f>
        <v>0</v>
      </c>
      <c r="K785" s="67">
        <f t="shared" si="145"/>
        <v>0</v>
      </c>
      <c r="L785" s="66">
        <f>L786</f>
        <v>0</v>
      </c>
      <c r="M785" s="67">
        <f t="shared" si="146"/>
        <v>0</v>
      </c>
      <c r="N785" s="66">
        <f>N786</f>
        <v>0</v>
      </c>
      <c r="O785" s="67">
        <f t="shared" si="141"/>
        <v>0</v>
      </c>
    </row>
    <row r="786" spans="1:15" ht="33" hidden="1" x14ac:dyDescent="0.2">
      <c r="A786" s="64" t="str">
        <f ca="1">IF(ISERROR(MATCH(F786,Код_КВР,0)),"",INDIRECT(ADDRESS(MATCH(F786,Код_КВР,0)+1,2,,,"КВР")))</f>
        <v>Предоставление субсидий бюджетным, автономным учреждениям и иным некоммерческим организациям</v>
      </c>
      <c r="B786" s="26">
        <v>805</v>
      </c>
      <c r="C786" s="65" t="s">
        <v>60</v>
      </c>
      <c r="D786" s="65" t="s">
        <v>71</v>
      </c>
      <c r="E786" s="26" t="s">
        <v>376</v>
      </c>
      <c r="F786" s="26">
        <v>600</v>
      </c>
      <c r="G786" s="66">
        <f>G787</f>
        <v>0</v>
      </c>
      <c r="H786" s="66">
        <f>H787</f>
        <v>0</v>
      </c>
      <c r="I786" s="67">
        <f t="shared" si="140"/>
        <v>0</v>
      </c>
      <c r="J786" s="66">
        <f>J787</f>
        <v>0</v>
      </c>
      <c r="K786" s="67">
        <f t="shared" si="145"/>
        <v>0</v>
      </c>
      <c r="L786" s="66">
        <f>L787</f>
        <v>0</v>
      </c>
      <c r="M786" s="67">
        <f t="shared" si="146"/>
        <v>0</v>
      </c>
      <c r="N786" s="66">
        <f>N787</f>
        <v>0</v>
      </c>
      <c r="O786" s="67">
        <f t="shared" si="141"/>
        <v>0</v>
      </c>
    </row>
    <row r="787" spans="1:15" hidden="1" x14ac:dyDescent="0.2">
      <c r="A787" s="64" t="str">
        <f ca="1">IF(ISERROR(MATCH(F787,Код_КВР,0)),"",INDIRECT(ADDRESS(MATCH(F787,Код_КВР,0)+1,2,,,"КВР")))</f>
        <v>Субсидии бюджетным учреждениям</v>
      </c>
      <c r="B787" s="26">
        <v>805</v>
      </c>
      <c r="C787" s="65" t="s">
        <v>60</v>
      </c>
      <c r="D787" s="65" t="s">
        <v>71</v>
      </c>
      <c r="E787" s="26" t="s">
        <v>376</v>
      </c>
      <c r="F787" s="26">
        <v>610</v>
      </c>
      <c r="G787" s="66"/>
      <c r="H787" s="66"/>
      <c r="I787" s="67">
        <f t="shared" si="140"/>
        <v>0</v>
      </c>
      <c r="J787" s="66"/>
      <c r="K787" s="67">
        <f t="shared" si="145"/>
        <v>0</v>
      </c>
      <c r="L787" s="66"/>
      <c r="M787" s="67">
        <f t="shared" si="146"/>
        <v>0</v>
      </c>
      <c r="N787" s="66"/>
      <c r="O787" s="67">
        <f t="shared" ref="O787:O850" si="148">M787+N787</f>
        <v>0</v>
      </c>
    </row>
    <row r="788" spans="1:15" ht="34.5" customHeight="1" x14ac:dyDescent="0.2">
      <c r="A788" s="64" t="str">
        <f ca="1">IF(ISERROR(MATCH(E788,Код_КЦСР,0)),"",INDIRECT(ADDRESS(MATCH(E788,Код_КЦСР,0)+1,2,,,"КЦСР")))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788" s="26">
        <v>805</v>
      </c>
      <c r="C788" s="65" t="s">
        <v>60</v>
      </c>
      <c r="D788" s="65" t="s">
        <v>71</v>
      </c>
      <c r="E788" s="26" t="s">
        <v>395</v>
      </c>
      <c r="F788" s="26"/>
      <c r="G788" s="66"/>
      <c r="H788" s="66"/>
      <c r="I788" s="67"/>
      <c r="J788" s="66">
        <f>J789</f>
        <v>165.5</v>
      </c>
      <c r="K788" s="67">
        <f t="shared" si="145"/>
        <v>165.5</v>
      </c>
      <c r="L788" s="66">
        <f>L789</f>
        <v>0</v>
      </c>
      <c r="M788" s="67">
        <f t="shared" si="146"/>
        <v>165.5</v>
      </c>
      <c r="N788" s="66">
        <f>N789</f>
        <v>0</v>
      </c>
      <c r="O788" s="67">
        <f t="shared" si="148"/>
        <v>165.5</v>
      </c>
    </row>
    <row r="789" spans="1:15" ht="21" customHeight="1" x14ac:dyDescent="0.2">
      <c r="A789" s="64" t="str">
        <f ca="1">IF(ISERROR(MATCH(E789,Код_КЦСР,0)),"",INDIRECT(ADDRESS(MATCH(E789,Код_КЦСР,0)+1,2,,,"КЦСР")))</f>
        <v>Повышение безопасности дорожного движения в городе Череповце</v>
      </c>
      <c r="B789" s="26">
        <v>805</v>
      </c>
      <c r="C789" s="65" t="s">
        <v>60</v>
      </c>
      <c r="D789" s="65" t="s">
        <v>71</v>
      </c>
      <c r="E789" s="26" t="s">
        <v>670</v>
      </c>
      <c r="F789" s="26"/>
      <c r="G789" s="66"/>
      <c r="H789" s="66"/>
      <c r="I789" s="67"/>
      <c r="J789" s="66">
        <f>J790</f>
        <v>165.5</v>
      </c>
      <c r="K789" s="67">
        <f t="shared" si="145"/>
        <v>165.5</v>
      </c>
      <c r="L789" s="66">
        <f>L790</f>
        <v>0</v>
      </c>
      <c r="M789" s="67">
        <f t="shared" si="146"/>
        <v>165.5</v>
      </c>
      <c r="N789" s="66">
        <f>N790</f>
        <v>0</v>
      </c>
      <c r="O789" s="67">
        <f t="shared" si="148"/>
        <v>165.5</v>
      </c>
    </row>
    <row r="790" spans="1:15" ht="33" x14ac:dyDescent="0.2">
      <c r="A790" s="73" t="str">
        <f ca="1">IF(ISERROR(MATCH(E790,Код_КЦСР,0)),"",INDIRECT(ADDRESS(MATCH(E790,Код_КЦСР,0)+1,2,,,"КЦСР")))</f>
        <v>Повышение эффективности мероприятий, направленных на профилактику детского дорожно-транспортного травматизма</v>
      </c>
      <c r="B790" s="26">
        <v>805</v>
      </c>
      <c r="C790" s="65" t="s">
        <v>60</v>
      </c>
      <c r="D790" s="65" t="s">
        <v>71</v>
      </c>
      <c r="E790" s="26" t="s">
        <v>666</v>
      </c>
      <c r="F790" s="26"/>
      <c r="G790" s="66"/>
      <c r="H790" s="66"/>
      <c r="I790" s="67"/>
      <c r="J790" s="66">
        <f>J791+J794</f>
        <v>165.5</v>
      </c>
      <c r="K790" s="67">
        <f t="shared" si="145"/>
        <v>165.5</v>
      </c>
      <c r="L790" s="66">
        <f>L791+L794</f>
        <v>0</v>
      </c>
      <c r="M790" s="67">
        <f t="shared" si="146"/>
        <v>165.5</v>
      </c>
      <c r="N790" s="66">
        <f>N791+N794</f>
        <v>0</v>
      </c>
      <c r="O790" s="67">
        <f t="shared" si="148"/>
        <v>165.5</v>
      </c>
    </row>
    <row r="791" spans="1:15" ht="55.5" customHeight="1" x14ac:dyDescent="0.2">
      <c r="A791" s="73" t="str">
        <f ca="1">IF(ISERROR(MATCH(E791,Код_КЦСР,0)),"",INDIRECT(ADDRESS(MATCH(E791,Код_КЦСР,0)+1,2,,,"КЦСР")))</f>
        <v xml:space="preserve">Реализация мероприятий по обеспечению безопасности жизни и здоровья детей, обучающихся в общеобразовательных организациях города, за счет средств областного бюджета
</v>
      </c>
      <c r="B791" s="26">
        <v>805</v>
      </c>
      <c r="C791" s="65" t="s">
        <v>60</v>
      </c>
      <c r="D791" s="65" t="s">
        <v>71</v>
      </c>
      <c r="E791" s="26" t="s">
        <v>667</v>
      </c>
      <c r="F791" s="26"/>
      <c r="G791" s="66"/>
      <c r="H791" s="66"/>
      <c r="I791" s="67"/>
      <c r="J791" s="66">
        <f>J792</f>
        <v>165.4</v>
      </c>
      <c r="K791" s="67">
        <f t="shared" si="145"/>
        <v>165.4</v>
      </c>
      <c r="L791" s="66">
        <f>L792</f>
        <v>0</v>
      </c>
      <c r="M791" s="67">
        <f t="shared" si="146"/>
        <v>165.4</v>
      </c>
      <c r="N791" s="66">
        <f>N792</f>
        <v>0</v>
      </c>
      <c r="O791" s="67">
        <f t="shared" si="148"/>
        <v>165.4</v>
      </c>
    </row>
    <row r="792" spans="1:15" ht="36" customHeight="1" x14ac:dyDescent="0.2">
      <c r="A792" s="64" t="str">
        <f ca="1">IF(ISERROR(MATCH(F792,Код_КВР,0)),"",INDIRECT(ADDRESS(MATCH(F792,Код_КВР,0)+1,2,,,"КВР")))</f>
        <v>Предоставление субсидий бюджетным, автономным учреждениям и иным некоммерческим организациям</v>
      </c>
      <c r="B792" s="26">
        <v>805</v>
      </c>
      <c r="C792" s="65" t="s">
        <v>60</v>
      </c>
      <c r="D792" s="65" t="s">
        <v>71</v>
      </c>
      <c r="E792" s="26" t="s">
        <v>667</v>
      </c>
      <c r="F792" s="26">
        <v>600</v>
      </c>
      <c r="G792" s="66"/>
      <c r="H792" s="66"/>
      <c r="I792" s="67"/>
      <c r="J792" s="66">
        <f>J793</f>
        <v>165.4</v>
      </c>
      <c r="K792" s="67">
        <f t="shared" si="145"/>
        <v>165.4</v>
      </c>
      <c r="L792" s="66">
        <f>L793</f>
        <v>0</v>
      </c>
      <c r="M792" s="67">
        <f t="shared" si="146"/>
        <v>165.4</v>
      </c>
      <c r="N792" s="66">
        <f>N793</f>
        <v>0</v>
      </c>
      <c r="O792" s="67">
        <f t="shared" si="148"/>
        <v>165.4</v>
      </c>
    </row>
    <row r="793" spans="1:15" ht="24" customHeight="1" x14ac:dyDescent="0.2">
      <c r="A793" s="64" t="str">
        <f ca="1">IF(ISERROR(MATCH(F793,Код_КВР,0)),"",INDIRECT(ADDRESS(MATCH(F793,Код_КВР,0)+1,2,,,"КВР")))</f>
        <v>Субсидии бюджетным учреждениям</v>
      </c>
      <c r="B793" s="26">
        <v>805</v>
      </c>
      <c r="C793" s="65" t="s">
        <v>60</v>
      </c>
      <c r="D793" s="65" t="s">
        <v>71</v>
      </c>
      <c r="E793" s="26" t="s">
        <v>667</v>
      </c>
      <c r="F793" s="26">
        <v>610</v>
      </c>
      <c r="G793" s="66"/>
      <c r="H793" s="66"/>
      <c r="I793" s="67"/>
      <c r="J793" s="66">
        <v>165.4</v>
      </c>
      <c r="K793" s="67">
        <f t="shared" si="145"/>
        <v>165.4</v>
      </c>
      <c r="L793" s="66"/>
      <c r="M793" s="67">
        <f t="shared" si="146"/>
        <v>165.4</v>
      </c>
      <c r="N793" s="66"/>
      <c r="O793" s="67">
        <f t="shared" si="148"/>
        <v>165.4</v>
      </c>
    </row>
    <row r="794" spans="1:15" ht="54.75" customHeight="1" x14ac:dyDescent="0.2">
      <c r="A794" s="73" t="str">
        <f ca="1">IF(ISERROR(MATCH(E794,Код_КЦСР,0)),"",INDIRECT(ADDRESS(MATCH(E794,Код_КЦСР,0)+1,2,,,"КЦСР")))</f>
        <v xml:space="preserve">Реализация мероприятий по обеспечению безопасности жизни и здоровья детей, обучающихся в общеобразовательных организациях города, в рамках софинансирования с областным бюджетом </v>
      </c>
      <c r="B794" s="26">
        <v>805</v>
      </c>
      <c r="C794" s="65" t="s">
        <v>60</v>
      </c>
      <c r="D794" s="65" t="s">
        <v>71</v>
      </c>
      <c r="E794" s="26" t="s">
        <v>678</v>
      </c>
      <c r="F794" s="26"/>
      <c r="G794" s="66"/>
      <c r="H794" s="66"/>
      <c r="I794" s="67"/>
      <c r="J794" s="66">
        <f>J795</f>
        <v>0.1</v>
      </c>
      <c r="K794" s="67">
        <f t="shared" si="145"/>
        <v>0.1</v>
      </c>
      <c r="L794" s="66">
        <f>L795</f>
        <v>0</v>
      </c>
      <c r="M794" s="67">
        <f t="shared" si="146"/>
        <v>0.1</v>
      </c>
      <c r="N794" s="66">
        <f>N795</f>
        <v>0</v>
      </c>
      <c r="O794" s="67">
        <f t="shared" si="148"/>
        <v>0.1</v>
      </c>
    </row>
    <row r="795" spans="1:15" ht="33" x14ac:dyDescent="0.2">
      <c r="A795" s="64" t="str">
        <f ca="1">IF(ISERROR(MATCH(F795,Код_КВР,0)),"",INDIRECT(ADDRESS(MATCH(F795,Код_КВР,0)+1,2,,,"КВР")))</f>
        <v>Предоставление субсидий бюджетным, автономным учреждениям и иным некоммерческим организациям</v>
      </c>
      <c r="B795" s="26">
        <v>805</v>
      </c>
      <c r="C795" s="65" t="s">
        <v>60</v>
      </c>
      <c r="D795" s="65" t="s">
        <v>71</v>
      </c>
      <c r="E795" s="26" t="s">
        <v>678</v>
      </c>
      <c r="F795" s="26">
        <v>600</v>
      </c>
      <c r="G795" s="66"/>
      <c r="H795" s="66"/>
      <c r="I795" s="67"/>
      <c r="J795" s="66">
        <f>J796</f>
        <v>0.1</v>
      </c>
      <c r="K795" s="67">
        <f t="shared" si="145"/>
        <v>0.1</v>
      </c>
      <c r="L795" s="66">
        <f>L796</f>
        <v>0</v>
      </c>
      <c r="M795" s="67">
        <f t="shared" si="146"/>
        <v>0.1</v>
      </c>
      <c r="N795" s="66">
        <f>N796</f>
        <v>0</v>
      </c>
      <c r="O795" s="67">
        <f t="shared" si="148"/>
        <v>0.1</v>
      </c>
    </row>
    <row r="796" spans="1:15" x14ac:dyDescent="0.2">
      <c r="A796" s="64" t="str">
        <f ca="1">IF(ISERROR(MATCH(F796,Код_КВР,0)),"",INDIRECT(ADDRESS(MATCH(F796,Код_КВР,0)+1,2,,,"КВР")))</f>
        <v>Субсидии бюджетным учреждениям</v>
      </c>
      <c r="B796" s="26">
        <v>805</v>
      </c>
      <c r="C796" s="65" t="s">
        <v>60</v>
      </c>
      <c r="D796" s="65" t="s">
        <v>71</v>
      </c>
      <c r="E796" s="26" t="s">
        <v>678</v>
      </c>
      <c r="F796" s="26">
        <v>610</v>
      </c>
      <c r="G796" s="66"/>
      <c r="H796" s="66"/>
      <c r="I796" s="67"/>
      <c r="J796" s="66">
        <v>0.1</v>
      </c>
      <c r="K796" s="67">
        <f t="shared" si="145"/>
        <v>0.1</v>
      </c>
      <c r="L796" s="66"/>
      <c r="M796" s="67">
        <f t="shared" si="146"/>
        <v>0.1</v>
      </c>
      <c r="N796" s="66"/>
      <c r="O796" s="67">
        <f t="shared" si="148"/>
        <v>0.1</v>
      </c>
    </row>
    <row r="797" spans="1:15" x14ac:dyDescent="0.2">
      <c r="A797" s="74" t="s">
        <v>465</v>
      </c>
      <c r="B797" s="26">
        <v>805</v>
      </c>
      <c r="C797" s="65" t="s">
        <v>60</v>
      </c>
      <c r="D797" s="65" t="s">
        <v>72</v>
      </c>
      <c r="E797" s="26"/>
      <c r="F797" s="26"/>
      <c r="G797" s="66">
        <f>G798+G817</f>
        <v>112091.6</v>
      </c>
      <c r="H797" s="66">
        <f>H798+H817</f>
        <v>0</v>
      </c>
      <c r="I797" s="67">
        <f t="shared" si="140"/>
        <v>112091.6</v>
      </c>
      <c r="J797" s="66">
        <f>J798+J817</f>
        <v>0</v>
      </c>
      <c r="K797" s="67">
        <f t="shared" si="145"/>
        <v>112091.6</v>
      </c>
      <c r="L797" s="66">
        <f>L798+L817</f>
        <v>-165.7</v>
      </c>
      <c r="M797" s="67">
        <f t="shared" si="146"/>
        <v>111925.90000000001</v>
      </c>
      <c r="N797" s="66">
        <f>N798+N817</f>
        <v>287.5</v>
      </c>
      <c r="O797" s="67">
        <f t="shared" si="148"/>
        <v>112213.40000000001</v>
      </c>
    </row>
    <row r="798" spans="1:15" x14ac:dyDescent="0.2">
      <c r="A798" s="64" t="str">
        <f ca="1">IF(ISERROR(MATCH(E798,Код_КЦСР,0)),"",INDIRECT(ADDRESS(MATCH(E798,Код_КЦСР,0)+1,2,,,"КЦСР")))</f>
        <v>Муниципальная программа «Развитие образования» на 2013 – 2022 годы</v>
      </c>
      <c r="B798" s="26">
        <v>805</v>
      </c>
      <c r="C798" s="65" t="s">
        <v>60</v>
      </c>
      <c r="D798" s="65" t="s">
        <v>72</v>
      </c>
      <c r="E798" s="26" t="s">
        <v>199</v>
      </c>
      <c r="F798" s="26"/>
      <c r="G798" s="66">
        <f>G799+G813</f>
        <v>111981.6</v>
      </c>
      <c r="H798" s="66">
        <f>H799+H813</f>
        <v>0</v>
      </c>
      <c r="I798" s="67">
        <f t="shared" si="140"/>
        <v>111981.6</v>
      </c>
      <c r="J798" s="66">
        <f>J799+J813</f>
        <v>0</v>
      </c>
      <c r="K798" s="67">
        <f t="shared" si="145"/>
        <v>111981.6</v>
      </c>
      <c r="L798" s="66">
        <f>L799+L813</f>
        <v>-165.7</v>
      </c>
      <c r="M798" s="67">
        <f t="shared" si="146"/>
        <v>111815.90000000001</v>
      </c>
      <c r="N798" s="66">
        <f>N799+N813</f>
        <v>287.5</v>
      </c>
      <c r="O798" s="67">
        <f t="shared" si="148"/>
        <v>112103.40000000001</v>
      </c>
    </row>
    <row r="799" spans="1:15" x14ac:dyDescent="0.2">
      <c r="A799" s="64" t="str">
        <f ca="1">IF(ISERROR(MATCH(E799,Код_КЦСР,0)),"",INDIRECT(ADDRESS(MATCH(E799,Код_КЦСР,0)+1,2,,,"КЦСР")))</f>
        <v>Дополнительное образование</v>
      </c>
      <c r="B799" s="26">
        <v>805</v>
      </c>
      <c r="C799" s="65" t="s">
        <v>60</v>
      </c>
      <c r="D799" s="65" t="s">
        <v>72</v>
      </c>
      <c r="E799" s="26" t="s">
        <v>211</v>
      </c>
      <c r="F799" s="26"/>
      <c r="G799" s="66">
        <f>G800+G804+G807</f>
        <v>111581.6</v>
      </c>
      <c r="H799" s="66">
        <f>H800+H804+H807</f>
        <v>0</v>
      </c>
      <c r="I799" s="67">
        <f t="shared" ref="I799:I870" si="149">G799+H799</f>
        <v>111581.6</v>
      </c>
      <c r="J799" s="66">
        <f>J800+J804+J807+J810</f>
        <v>0</v>
      </c>
      <c r="K799" s="67">
        <f t="shared" si="145"/>
        <v>111581.6</v>
      </c>
      <c r="L799" s="66">
        <f>L800+L804+L807+L810</f>
        <v>-31.7</v>
      </c>
      <c r="M799" s="67">
        <f t="shared" si="146"/>
        <v>111549.90000000001</v>
      </c>
      <c r="N799" s="66">
        <f>N800+N804+N807+N810</f>
        <v>287.5</v>
      </c>
      <c r="O799" s="67">
        <f t="shared" si="148"/>
        <v>111837.40000000001</v>
      </c>
    </row>
    <row r="800" spans="1:15" x14ac:dyDescent="0.2">
      <c r="A800" s="64" t="str">
        <f ca="1">IF(ISERROR(MATCH(E800,Код_КЦСР,0)),"",INDIRECT(ADDRESS(MATCH(E800,Код_КЦСР,0)+1,2,,,"КЦСР")))</f>
        <v>Организация предоставления дополнительного образования детям</v>
      </c>
      <c r="B800" s="26">
        <v>805</v>
      </c>
      <c r="C800" s="65" t="s">
        <v>60</v>
      </c>
      <c r="D800" s="65" t="s">
        <v>72</v>
      </c>
      <c r="E800" s="26" t="s">
        <v>212</v>
      </c>
      <c r="F800" s="26"/>
      <c r="G800" s="66">
        <f>G801</f>
        <v>110729.1</v>
      </c>
      <c r="H800" s="66">
        <f>H801</f>
        <v>0</v>
      </c>
      <c r="I800" s="67">
        <f t="shared" si="149"/>
        <v>110729.1</v>
      </c>
      <c r="J800" s="66">
        <f>J801</f>
        <v>-47075.199999999997</v>
      </c>
      <c r="K800" s="67">
        <f t="shared" si="145"/>
        <v>63653.900000000009</v>
      </c>
      <c r="L800" s="66">
        <f>L801</f>
        <v>-31.7</v>
      </c>
      <c r="M800" s="67">
        <f t="shared" si="146"/>
        <v>63622.200000000012</v>
      </c>
      <c r="N800" s="66">
        <f>N801</f>
        <v>-30.9</v>
      </c>
      <c r="O800" s="67">
        <f t="shared" si="148"/>
        <v>63591.30000000001</v>
      </c>
    </row>
    <row r="801" spans="1:15" ht="33" x14ac:dyDescent="0.2">
      <c r="A801" s="64" t="str">
        <f ca="1">IF(ISERROR(MATCH(F801,Код_КВР,0)),"",INDIRECT(ADDRESS(MATCH(F801,Код_КВР,0)+1,2,,,"КВР")))</f>
        <v>Предоставление субсидий бюджетным, автономным учреждениям и иным некоммерческим организациям</v>
      </c>
      <c r="B801" s="26">
        <v>805</v>
      </c>
      <c r="C801" s="65" t="s">
        <v>60</v>
      </c>
      <c r="D801" s="65" t="s">
        <v>72</v>
      </c>
      <c r="E801" s="26" t="s">
        <v>212</v>
      </c>
      <c r="F801" s="26">
        <v>600</v>
      </c>
      <c r="G801" s="66">
        <f>G802+G803</f>
        <v>110729.1</v>
      </c>
      <c r="H801" s="66">
        <f>H802+H803</f>
        <v>0</v>
      </c>
      <c r="I801" s="67">
        <f t="shared" si="149"/>
        <v>110729.1</v>
      </c>
      <c r="J801" s="66">
        <f>J802+J803</f>
        <v>-47075.199999999997</v>
      </c>
      <c r="K801" s="67">
        <f t="shared" si="145"/>
        <v>63653.900000000009</v>
      </c>
      <c r="L801" s="66">
        <f>L802+L803</f>
        <v>-31.7</v>
      </c>
      <c r="M801" s="67">
        <f t="shared" si="146"/>
        <v>63622.200000000012</v>
      </c>
      <c r="N801" s="66">
        <f>N802+N803</f>
        <v>-30.9</v>
      </c>
      <c r="O801" s="67">
        <f t="shared" si="148"/>
        <v>63591.30000000001</v>
      </c>
    </row>
    <row r="802" spans="1:15" x14ac:dyDescent="0.2">
      <c r="A802" s="64" t="str">
        <f ca="1">IF(ISERROR(MATCH(F802,Код_КВР,0)),"",INDIRECT(ADDRESS(MATCH(F802,Код_КВР,0)+1,2,,,"КВР")))</f>
        <v>Субсидии бюджетным учреждениям</v>
      </c>
      <c r="B802" s="26">
        <v>805</v>
      </c>
      <c r="C802" s="65" t="s">
        <v>60</v>
      </c>
      <c r="D802" s="65" t="s">
        <v>72</v>
      </c>
      <c r="E802" s="26" t="s">
        <v>212</v>
      </c>
      <c r="F802" s="26">
        <v>610</v>
      </c>
      <c r="G802" s="66">
        <f>69191+26282.3+1727.7</f>
        <v>97201</v>
      </c>
      <c r="H802" s="66"/>
      <c r="I802" s="67">
        <f t="shared" si="149"/>
        <v>97201</v>
      </c>
      <c r="J802" s="66">
        <f>-8648.8-27171.6</f>
        <v>-35820.399999999994</v>
      </c>
      <c r="K802" s="67">
        <f t="shared" si="145"/>
        <v>61380.600000000006</v>
      </c>
      <c r="L802" s="66">
        <v>-31.7</v>
      </c>
      <c r="M802" s="67">
        <f t="shared" si="146"/>
        <v>61348.900000000009</v>
      </c>
      <c r="N802" s="66">
        <v>-30.9</v>
      </c>
      <c r="O802" s="67">
        <f t="shared" si="148"/>
        <v>61318.000000000007</v>
      </c>
    </row>
    <row r="803" spans="1:15" x14ac:dyDescent="0.2">
      <c r="A803" s="64" t="str">
        <f ca="1">IF(ISERROR(MATCH(F803,Код_КВР,0)),"",INDIRECT(ADDRESS(MATCH(F803,Код_КВР,0)+1,2,,,"КВР")))</f>
        <v>Субсидии автономным учреждениям</v>
      </c>
      <c r="B803" s="26">
        <v>805</v>
      </c>
      <c r="C803" s="65" t="s">
        <v>60</v>
      </c>
      <c r="D803" s="65" t="s">
        <v>72</v>
      </c>
      <c r="E803" s="26" t="s">
        <v>212</v>
      </c>
      <c r="F803" s="26">
        <v>620</v>
      </c>
      <c r="G803" s="66">
        <f>5312+7312.2+903.9</f>
        <v>13528.1</v>
      </c>
      <c r="H803" s="66"/>
      <c r="I803" s="67">
        <f t="shared" si="149"/>
        <v>13528.1</v>
      </c>
      <c r="J803" s="66">
        <f>-6518.8-4736</f>
        <v>-11254.8</v>
      </c>
      <c r="K803" s="67">
        <f t="shared" si="145"/>
        <v>2273.3000000000011</v>
      </c>
      <c r="L803" s="66"/>
      <c r="M803" s="67">
        <f t="shared" si="146"/>
        <v>2273.3000000000011</v>
      </c>
      <c r="N803" s="66"/>
      <c r="O803" s="67">
        <f t="shared" si="148"/>
        <v>2273.3000000000011</v>
      </c>
    </row>
    <row r="804" spans="1:15" ht="49.5" x14ac:dyDescent="0.2">
      <c r="A804" s="64" t="str">
        <f ca="1">IF(ISERROR(MATCH(E804,Код_КЦСР,0)),"",INDIRECT(ADDRESS(MATCH(E804,Код_КЦСР,0)+1,2,,,"КЦСР")))</f>
        <v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v>
      </c>
      <c r="B804" s="26">
        <v>805</v>
      </c>
      <c r="C804" s="65" t="s">
        <v>60</v>
      </c>
      <c r="D804" s="65" t="s">
        <v>72</v>
      </c>
      <c r="E804" s="26" t="s">
        <v>214</v>
      </c>
      <c r="F804" s="26"/>
      <c r="G804" s="66">
        <f>G805</f>
        <v>258</v>
      </c>
      <c r="H804" s="66">
        <f>H805</f>
        <v>0</v>
      </c>
      <c r="I804" s="67">
        <f t="shared" si="149"/>
        <v>258</v>
      </c>
      <c r="J804" s="66">
        <f>J805</f>
        <v>0</v>
      </c>
      <c r="K804" s="67">
        <f t="shared" si="145"/>
        <v>258</v>
      </c>
      <c r="L804" s="66">
        <f>L805</f>
        <v>0</v>
      </c>
      <c r="M804" s="67">
        <f t="shared" si="146"/>
        <v>258</v>
      </c>
      <c r="N804" s="66">
        <f>N805</f>
        <v>0</v>
      </c>
      <c r="O804" s="67">
        <f t="shared" si="148"/>
        <v>258</v>
      </c>
    </row>
    <row r="805" spans="1:15" ht="33" x14ac:dyDescent="0.2">
      <c r="A805" s="64" t="str">
        <f ca="1">IF(ISERROR(MATCH(F805,Код_КВР,0)),"",INDIRECT(ADDRESS(MATCH(F805,Код_КВР,0)+1,2,,,"КВР")))</f>
        <v>Предоставление субсидий бюджетным, автономным учреждениям и иным некоммерческим организациям</v>
      </c>
      <c r="B805" s="26">
        <v>805</v>
      </c>
      <c r="C805" s="65" t="s">
        <v>60</v>
      </c>
      <c r="D805" s="65" t="s">
        <v>72</v>
      </c>
      <c r="E805" s="26" t="s">
        <v>214</v>
      </c>
      <c r="F805" s="26">
        <v>600</v>
      </c>
      <c r="G805" s="66">
        <f>G806</f>
        <v>258</v>
      </c>
      <c r="H805" s="66">
        <f>H806</f>
        <v>0</v>
      </c>
      <c r="I805" s="67">
        <f t="shared" si="149"/>
        <v>258</v>
      </c>
      <c r="J805" s="66">
        <f>J806</f>
        <v>0</v>
      </c>
      <c r="K805" s="67">
        <f t="shared" si="145"/>
        <v>258</v>
      </c>
      <c r="L805" s="66">
        <f>L806</f>
        <v>0</v>
      </c>
      <c r="M805" s="67">
        <f t="shared" si="146"/>
        <v>258</v>
      </c>
      <c r="N805" s="66">
        <f>N806</f>
        <v>0</v>
      </c>
      <c r="O805" s="67">
        <f t="shared" si="148"/>
        <v>258</v>
      </c>
    </row>
    <row r="806" spans="1:15" x14ac:dyDescent="0.2">
      <c r="A806" s="64" t="str">
        <f ca="1">IF(ISERROR(MATCH(F806,Код_КВР,0)),"",INDIRECT(ADDRESS(MATCH(F806,Код_КВР,0)+1,2,,,"КВР")))</f>
        <v>Субсидии бюджетным учреждениям</v>
      </c>
      <c r="B806" s="26">
        <v>805</v>
      </c>
      <c r="C806" s="65" t="s">
        <v>60</v>
      </c>
      <c r="D806" s="65" t="s">
        <v>72</v>
      </c>
      <c r="E806" s="26" t="s">
        <v>214</v>
      </c>
      <c r="F806" s="26">
        <v>610</v>
      </c>
      <c r="G806" s="66">
        <v>258</v>
      </c>
      <c r="H806" s="66"/>
      <c r="I806" s="67">
        <f t="shared" si="149"/>
        <v>258</v>
      </c>
      <c r="J806" s="66"/>
      <c r="K806" s="67">
        <f t="shared" si="145"/>
        <v>258</v>
      </c>
      <c r="L806" s="66"/>
      <c r="M806" s="67">
        <f t="shared" si="146"/>
        <v>258</v>
      </c>
      <c r="N806" s="66"/>
      <c r="O806" s="67">
        <f t="shared" si="148"/>
        <v>258</v>
      </c>
    </row>
    <row r="807" spans="1:15" ht="33" x14ac:dyDescent="0.2">
      <c r="A807" s="64" t="str">
        <f ca="1">IF(ISERROR(MATCH(E807,Код_КЦСР,0)),"",INDIRECT(ADDRESS(MATCH(E807,Код_КЦСР,0)+1,2,,,"КЦСР")))</f>
        <v>Организация проведения общественно-значимых мероприятий в сфере образования, науки и молодежной политики</v>
      </c>
      <c r="B807" s="26">
        <v>805</v>
      </c>
      <c r="C807" s="65" t="s">
        <v>60</v>
      </c>
      <c r="D807" s="65" t="s">
        <v>72</v>
      </c>
      <c r="E807" s="26" t="s">
        <v>438</v>
      </c>
      <c r="F807" s="26"/>
      <c r="G807" s="66">
        <f>G808</f>
        <v>594.5</v>
      </c>
      <c r="H807" s="66">
        <f>H808</f>
        <v>0</v>
      </c>
      <c r="I807" s="67">
        <f t="shared" si="149"/>
        <v>594.5</v>
      </c>
      <c r="J807" s="66">
        <f>J808</f>
        <v>0</v>
      </c>
      <c r="K807" s="67">
        <f t="shared" si="145"/>
        <v>594.5</v>
      </c>
      <c r="L807" s="66">
        <f>L808</f>
        <v>0</v>
      </c>
      <c r="M807" s="67">
        <f t="shared" si="146"/>
        <v>594.5</v>
      </c>
      <c r="N807" s="66">
        <f>N808</f>
        <v>0</v>
      </c>
      <c r="O807" s="67">
        <f t="shared" si="148"/>
        <v>594.5</v>
      </c>
    </row>
    <row r="808" spans="1:15" ht="33" x14ac:dyDescent="0.2">
      <c r="A808" s="64" t="str">
        <f ca="1">IF(ISERROR(MATCH(F808,Код_КВР,0)),"",INDIRECT(ADDRESS(MATCH(F808,Код_КВР,0)+1,2,,,"КВР")))</f>
        <v>Предоставление субсидий бюджетным, автономным учреждениям и иным некоммерческим организациям</v>
      </c>
      <c r="B808" s="26">
        <v>805</v>
      </c>
      <c r="C808" s="65" t="s">
        <v>60</v>
      </c>
      <c r="D808" s="65" t="s">
        <v>72</v>
      </c>
      <c r="E808" s="26" t="s">
        <v>438</v>
      </c>
      <c r="F808" s="26">
        <v>600</v>
      </c>
      <c r="G808" s="66">
        <f>G809</f>
        <v>594.5</v>
      </c>
      <c r="H808" s="66">
        <f>H809</f>
        <v>0</v>
      </c>
      <c r="I808" s="67">
        <f t="shared" si="149"/>
        <v>594.5</v>
      </c>
      <c r="J808" s="66">
        <f>J809</f>
        <v>0</v>
      </c>
      <c r="K808" s="67">
        <f t="shared" si="145"/>
        <v>594.5</v>
      </c>
      <c r="L808" s="66">
        <f>L809</f>
        <v>0</v>
      </c>
      <c r="M808" s="67">
        <f t="shared" si="146"/>
        <v>594.5</v>
      </c>
      <c r="N808" s="66">
        <f>N809</f>
        <v>0</v>
      </c>
      <c r="O808" s="67">
        <f t="shared" si="148"/>
        <v>594.5</v>
      </c>
    </row>
    <row r="809" spans="1:15" x14ac:dyDescent="0.2">
      <c r="A809" s="64" t="str">
        <f ca="1">IF(ISERROR(MATCH(F809,Код_КВР,0)),"",INDIRECT(ADDRESS(MATCH(F809,Код_КВР,0)+1,2,,,"КВР")))</f>
        <v>Субсидии бюджетным учреждениям</v>
      </c>
      <c r="B809" s="26">
        <v>805</v>
      </c>
      <c r="C809" s="65" t="s">
        <v>60</v>
      </c>
      <c r="D809" s="65" t="s">
        <v>72</v>
      </c>
      <c r="E809" s="26" t="s">
        <v>438</v>
      </c>
      <c r="F809" s="26">
        <v>610</v>
      </c>
      <c r="G809" s="66">
        <v>594.5</v>
      </c>
      <c r="H809" s="66"/>
      <c r="I809" s="67">
        <f t="shared" si="149"/>
        <v>594.5</v>
      </c>
      <c r="J809" s="66"/>
      <c r="K809" s="67">
        <f t="shared" si="145"/>
        <v>594.5</v>
      </c>
      <c r="L809" s="66"/>
      <c r="M809" s="67">
        <f t="shared" si="146"/>
        <v>594.5</v>
      </c>
      <c r="N809" s="66"/>
      <c r="O809" s="67">
        <f t="shared" si="148"/>
        <v>594.5</v>
      </c>
    </row>
    <row r="810" spans="1:15" ht="33" x14ac:dyDescent="0.2">
      <c r="A810" s="64" t="str">
        <f ca="1">IF(ISERROR(MATCH(E810,Код_КЦСР,0)),"",INDIRECT(ADDRESS(MATCH(E810,Код_КЦСР,0)+1,2,,,"КЦСР")))</f>
        <v>Формирование современных управленческих и организационно-экономических механизмов в системе дополнительного образования детей</v>
      </c>
      <c r="B810" s="26">
        <v>805</v>
      </c>
      <c r="C810" s="65" t="s">
        <v>60</v>
      </c>
      <c r="D810" s="65" t="s">
        <v>72</v>
      </c>
      <c r="E810" s="26" t="s">
        <v>680</v>
      </c>
      <c r="F810" s="26"/>
      <c r="G810" s="66"/>
      <c r="H810" s="66"/>
      <c r="I810" s="67"/>
      <c r="J810" s="66">
        <f>J811</f>
        <v>47075.199999999997</v>
      </c>
      <c r="K810" s="67">
        <f t="shared" si="145"/>
        <v>47075.199999999997</v>
      </c>
      <c r="L810" s="66">
        <f>L811</f>
        <v>0</v>
      </c>
      <c r="M810" s="67">
        <f t="shared" si="146"/>
        <v>47075.199999999997</v>
      </c>
      <c r="N810" s="66">
        <f>N811</f>
        <v>318.39999999999998</v>
      </c>
      <c r="O810" s="67">
        <f t="shared" si="148"/>
        <v>47393.599999999999</v>
      </c>
    </row>
    <row r="811" spans="1:15" ht="33" x14ac:dyDescent="0.2">
      <c r="A811" s="52" t="str">
        <f ca="1">IF(ISERROR(MATCH(F811,Код_КВР,0)),"",INDIRECT(ADDRESS(MATCH(F811,Код_КВР,0)+1,2,,,"КВР")))</f>
        <v>Предоставление субсидий бюджетным, автономным учреждениям и иным некоммерческим организациям</v>
      </c>
      <c r="B811" s="25">
        <v>805</v>
      </c>
      <c r="C811" s="87" t="s">
        <v>60</v>
      </c>
      <c r="D811" s="87" t="s">
        <v>72</v>
      </c>
      <c r="E811" s="26" t="s">
        <v>680</v>
      </c>
      <c r="F811" s="25">
        <v>600</v>
      </c>
      <c r="G811" s="66"/>
      <c r="H811" s="66"/>
      <c r="I811" s="67"/>
      <c r="J811" s="66">
        <f>J812</f>
        <v>47075.199999999997</v>
      </c>
      <c r="K811" s="67">
        <f t="shared" si="145"/>
        <v>47075.199999999997</v>
      </c>
      <c r="L811" s="66">
        <f>L812</f>
        <v>0</v>
      </c>
      <c r="M811" s="67">
        <f t="shared" si="146"/>
        <v>47075.199999999997</v>
      </c>
      <c r="N811" s="66">
        <f>N812</f>
        <v>318.39999999999998</v>
      </c>
      <c r="O811" s="67">
        <f t="shared" si="148"/>
        <v>47393.599999999999</v>
      </c>
    </row>
    <row r="812" spans="1:15" ht="33" x14ac:dyDescent="0.2">
      <c r="A812" s="52" t="str">
        <f ca="1">IF(ISERROR(MATCH(F812,Код_КВР,0)),"",INDIRECT(ADDRESS(MATCH(F812,Код_КВР,0)+1,2,,,"КВР")))</f>
        <v>Субсидии некоммерческим организациям (за исключением государственных (муниципальных) учреждений)</v>
      </c>
      <c r="B812" s="25">
        <v>805</v>
      </c>
      <c r="C812" s="87" t="s">
        <v>60</v>
      </c>
      <c r="D812" s="87" t="s">
        <v>72</v>
      </c>
      <c r="E812" s="26" t="s">
        <v>680</v>
      </c>
      <c r="F812" s="25">
        <v>630</v>
      </c>
      <c r="G812" s="66"/>
      <c r="H812" s="66"/>
      <c r="I812" s="67"/>
      <c r="J812" s="66">
        <v>47075.199999999997</v>
      </c>
      <c r="K812" s="67">
        <f t="shared" si="145"/>
        <v>47075.199999999997</v>
      </c>
      <c r="L812" s="66"/>
      <c r="M812" s="67">
        <f t="shared" si="146"/>
        <v>47075.199999999997</v>
      </c>
      <c r="N812" s="66">
        <v>318.39999999999998</v>
      </c>
      <c r="O812" s="67">
        <f t="shared" si="148"/>
        <v>47393.599999999999</v>
      </c>
    </row>
    <row r="813" spans="1:15" ht="33" x14ac:dyDescent="0.2">
      <c r="A813" s="64" t="str">
        <f ca="1">IF(ISERROR(MATCH(E813,Код_КЦСР,0)),"",INDIRECT(ADDRESS(MATCH(E813,Код_КЦСР,0)+1,2,,,"КЦСР")))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813" s="26">
        <v>805</v>
      </c>
      <c r="C813" s="65" t="s">
        <v>60</v>
      </c>
      <c r="D813" s="65" t="s">
        <v>72</v>
      </c>
      <c r="E813" s="26" t="s">
        <v>231</v>
      </c>
      <c r="F813" s="26"/>
      <c r="G813" s="66">
        <f t="shared" ref="G813:N815" si="150">G814</f>
        <v>400</v>
      </c>
      <c r="H813" s="66">
        <f t="shared" si="150"/>
        <v>0</v>
      </c>
      <c r="I813" s="67">
        <f t="shared" si="149"/>
        <v>400</v>
      </c>
      <c r="J813" s="66">
        <f t="shared" si="150"/>
        <v>0</v>
      </c>
      <c r="K813" s="67">
        <f t="shared" si="145"/>
        <v>400</v>
      </c>
      <c r="L813" s="66">
        <f t="shared" si="150"/>
        <v>-134</v>
      </c>
      <c r="M813" s="67">
        <f t="shared" si="146"/>
        <v>266</v>
      </c>
      <c r="N813" s="66">
        <f t="shared" si="150"/>
        <v>0</v>
      </c>
      <c r="O813" s="67">
        <f t="shared" si="148"/>
        <v>266</v>
      </c>
    </row>
    <row r="814" spans="1:15" x14ac:dyDescent="0.2">
      <c r="A814" s="52" t="str">
        <f ca="1">IF(ISERROR(MATCH(E814,Код_КЦСР,0)),"",INDIRECT(ADDRESS(MATCH(E814,Код_КЦСР,0)+1,2,,,"КЦСР")))</f>
        <v>Текущие ремонты и работы по благоустройству территорий</v>
      </c>
      <c r="B814" s="25">
        <v>805</v>
      </c>
      <c r="C814" s="87" t="s">
        <v>60</v>
      </c>
      <c r="D814" s="87" t="s">
        <v>72</v>
      </c>
      <c r="E814" s="25" t="s">
        <v>439</v>
      </c>
      <c r="F814" s="25"/>
      <c r="G814" s="88">
        <f t="shared" si="150"/>
        <v>400</v>
      </c>
      <c r="H814" s="88">
        <f t="shared" si="150"/>
        <v>0</v>
      </c>
      <c r="I814" s="67">
        <f t="shared" si="149"/>
        <v>400</v>
      </c>
      <c r="J814" s="88">
        <f t="shared" si="150"/>
        <v>0</v>
      </c>
      <c r="K814" s="67">
        <f t="shared" si="145"/>
        <v>400</v>
      </c>
      <c r="L814" s="88">
        <f t="shared" si="150"/>
        <v>-134</v>
      </c>
      <c r="M814" s="67">
        <f t="shared" si="146"/>
        <v>266</v>
      </c>
      <c r="N814" s="88">
        <f t="shared" si="150"/>
        <v>0</v>
      </c>
      <c r="O814" s="67">
        <f t="shared" si="148"/>
        <v>266</v>
      </c>
    </row>
    <row r="815" spans="1:15" ht="33" x14ac:dyDescent="0.2">
      <c r="A815" s="52" t="str">
        <f ca="1">IF(ISERROR(MATCH(F815,Код_КВР,0)),"",INDIRECT(ADDRESS(MATCH(F815,Код_КВР,0)+1,2,,,"КВР")))</f>
        <v>Предоставление субсидий бюджетным, автономным учреждениям и иным некоммерческим организациям</v>
      </c>
      <c r="B815" s="25">
        <v>805</v>
      </c>
      <c r="C815" s="87" t="s">
        <v>60</v>
      </c>
      <c r="D815" s="87" t="s">
        <v>72</v>
      </c>
      <c r="E815" s="25" t="s">
        <v>439</v>
      </c>
      <c r="F815" s="25">
        <v>600</v>
      </c>
      <c r="G815" s="88">
        <f t="shared" si="150"/>
        <v>400</v>
      </c>
      <c r="H815" s="88">
        <f t="shared" si="150"/>
        <v>0</v>
      </c>
      <c r="I815" s="67">
        <f t="shared" si="149"/>
        <v>400</v>
      </c>
      <c r="J815" s="88">
        <f t="shared" si="150"/>
        <v>0</v>
      </c>
      <c r="K815" s="67">
        <f t="shared" si="145"/>
        <v>400</v>
      </c>
      <c r="L815" s="88">
        <f t="shared" si="150"/>
        <v>-134</v>
      </c>
      <c r="M815" s="67">
        <f t="shared" si="146"/>
        <v>266</v>
      </c>
      <c r="N815" s="88">
        <f t="shared" si="150"/>
        <v>0</v>
      </c>
      <c r="O815" s="67">
        <f t="shared" si="148"/>
        <v>266</v>
      </c>
    </row>
    <row r="816" spans="1:15" x14ac:dyDescent="0.2">
      <c r="A816" s="52" t="str">
        <f ca="1">IF(ISERROR(MATCH(F816,Код_КВР,0)),"",INDIRECT(ADDRESS(MATCH(F816,Код_КВР,0)+1,2,,,"КВР")))</f>
        <v>Субсидии бюджетным учреждениям</v>
      </c>
      <c r="B816" s="25">
        <v>805</v>
      </c>
      <c r="C816" s="87" t="s">
        <v>60</v>
      </c>
      <c r="D816" s="87" t="s">
        <v>72</v>
      </c>
      <c r="E816" s="25" t="s">
        <v>439</v>
      </c>
      <c r="F816" s="25">
        <v>610</v>
      </c>
      <c r="G816" s="88">
        <v>400</v>
      </c>
      <c r="H816" s="88"/>
      <c r="I816" s="67">
        <f t="shared" si="149"/>
        <v>400</v>
      </c>
      <c r="J816" s="88"/>
      <c r="K816" s="67">
        <f t="shared" si="145"/>
        <v>400</v>
      </c>
      <c r="L816" s="88">
        <v>-134</v>
      </c>
      <c r="M816" s="67">
        <f t="shared" si="146"/>
        <v>266</v>
      </c>
      <c r="N816" s="88"/>
      <c r="O816" s="67">
        <f t="shared" si="148"/>
        <v>266</v>
      </c>
    </row>
    <row r="817" spans="1:15" ht="33" x14ac:dyDescent="0.2">
      <c r="A817" s="52" t="str">
        <f ca="1">IF(ISERROR(MATCH(E817,Код_КЦСР,0)),"",INDIRECT(ADDRESS(MATCH(E817,Код_КЦСР,0)+1,2,,,"КЦСР")))</f>
        <v>Муниципальная программа «Охрана окружающей среды» на 2013 – 2022 годы</v>
      </c>
      <c r="B817" s="25">
        <v>805</v>
      </c>
      <c r="C817" s="87" t="s">
        <v>60</v>
      </c>
      <c r="D817" s="87" t="s">
        <v>72</v>
      </c>
      <c r="E817" s="25" t="s">
        <v>285</v>
      </c>
      <c r="F817" s="25"/>
      <c r="G817" s="88">
        <f t="shared" ref="G817:N819" si="151">G818</f>
        <v>110</v>
      </c>
      <c r="H817" s="88">
        <f t="shared" si="151"/>
        <v>0</v>
      </c>
      <c r="I817" s="67">
        <f t="shared" si="149"/>
        <v>110</v>
      </c>
      <c r="J817" s="88">
        <f t="shared" si="151"/>
        <v>0</v>
      </c>
      <c r="K817" s="67">
        <f t="shared" si="145"/>
        <v>110</v>
      </c>
      <c r="L817" s="88">
        <f t="shared" si="151"/>
        <v>0</v>
      </c>
      <c r="M817" s="67">
        <f t="shared" si="146"/>
        <v>110</v>
      </c>
      <c r="N817" s="88">
        <f t="shared" si="151"/>
        <v>0</v>
      </c>
      <c r="O817" s="67">
        <f t="shared" si="148"/>
        <v>110</v>
      </c>
    </row>
    <row r="818" spans="1:15" ht="33" x14ac:dyDescent="0.2">
      <c r="A818" s="64" t="str">
        <f ca="1">IF(ISERROR(MATCH(E818,Код_КЦСР,0)),"",INDIRECT(ADDRESS(MATCH(E818,Код_КЦСР,0)+1,2,,,"КЦСР")))</f>
        <v>Организация мероприятий по экологическому образованию и воспитанию населения</v>
      </c>
      <c r="B818" s="26">
        <v>805</v>
      </c>
      <c r="C818" s="65" t="s">
        <v>60</v>
      </c>
      <c r="D818" s="65" t="s">
        <v>72</v>
      </c>
      <c r="E818" s="26" t="s">
        <v>287</v>
      </c>
      <c r="F818" s="26"/>
      <c r="G818" s="66">
        <f t="shared" si="151"/>
        <v>110</v>
      </c>
      <c r="H818" s="66">
        <f t="shared" si="151"/>
        <v>0</v>
      </c>
      <c r="I818" s="67">
        <f t="shared" si="149"/>
        <v>110</v>
      </c>
      <c r="J818" s="66">
        <f t="shared" si="151"/>
        <v>0</v>
      </c>
      <c r="K818" s="67">
        <f t="shared" si="145"/>
        <v>110</v>
      </c>
      <c r="L818" s="66">
        <f t="shared" si="151"/>
        <v>0</v>
      </c>
      <c r="M818" s="67">
        <f t="shared" si="146"/>
        <v>110</v>
      </c>
      <c r="N818" s="66">
        <f t="shared" si="151"/>
        <v>0</v>
      </c>
      <c r="O818" s="67">
        <f t="shared" si="148"/>
        <v>110</v>
      </c>
    </row>
    <row r="819" spans="1:15" ht="33" x14ac:dyDescent="0.2">
      <c r="A819" s="64" t="str">
        <f ca="1">IF(ISERROR(MATCH(F819,Код_КВР,0)),"",INDIRECT(ADDRESS(MATCH(F819,Код_КВР,0)+1,2,,,"КВР")))</f>
        <v>Предоставление субсидий бюджетным, автономным учреждениям и иным некоммерческим организациям</v>
      </c>
      <c r="B819" s="26">
        <v>805</v>
      </c>
      <c r="C819" s="65" t="s">
        <v>60</v>
      </c>
      <c r="D819" s="65" t="s">
        <v>72</v>
      </c>
      <c r="E819" s="26" t="s">
        <v>287</v>
      </c>
      <c r="F819" s="26">
        <v>600</v>
      </c>
      <c r="G819" s="66">
        <f t="shared" si="151"/>
        <v>110</v>
      </c>
      <c r="H819" s="66">
        <f t="shared" si="151"/>
        <v>0</v>
      </c>
      <c r="I819" s="67">
        <f t="shared" si="149"/>
        <v>110</v>
      </c>
      <c r="J819" s="66">
        <f t="shared" si="151"/>
        <v>0</v>
      </c>
      <c r="K819" s="67">
        <f t="shared" si="145"/>
        <v>110</v>
      </c>
      <c r="L819" s="66">
        <f t="shared" si="151"/>
        <v>0</v>
      </c>
      <c r="M819" s="67">
        <f t="shared" si="146"/>
        <v>110</v>
      </c>
      <c r="N819" s="66">
        <f t="shared" si="151"/>
        <v>0</v>
      </c>
      <c r="O819" s="67">
        <f t="shared" si="148"/>
        <v>110</v>
      </c>
    </row>
    <row r="820" spans="1:15" x14ac:dyDescent="0.2">
      <c r="A820" s="64" t="str">
        <f ca="1">IF(ISERROR(MATCH(F820,Код_КВР,0)),"",INDIRECT(ADDRESS(MATCH(F820,Код_КВР,0)+1,2,,,"КВР")))</f>
        <v>Субсидии бюджетным учреждениям</v>
      </c>
      <c r="B820" s="26">
        <v>805</v>
      </c>
      <c r="C820" s="65" t="s">
        <v>60</v>
      </c>
      <c r="D820" s="65" t="s">
        <v>72</v>
      </c>
      <c r="E820" s="26" t="s">
        <v>287</v>
      </c>
      <c r="F820" s="26">
        <v>610</v>
      </c>
      <c r="G820" s="66">
        <v>110</v>
      </c>
      <c r="H820" s="66"/>
      <c r="I820" s="67">
        <f t="shared" si="149"/>
        <v>110</v>
      </c>
      <c r="J820" s="66"/>
      <c r="K820" s="67">
        <f t="shared" si="145"/>
        <v>110</v>
      </c>
      <c r="L820" s="66"/>
      <c r="M820" s="67">
        <f t="shared" si="146"/>
        <v>110</v>
      </c>
      <c r="N820" s="66"/>
      <c r="O820" s="67">
        <f t="shared" si="148"/>
        <v>110</v>
      </c>
    </row>
    <row r="821" spans="1:15" x14ac:dyDescent="0.2">
      <c r="A821" s="45" t="s">
        <v>532</v>
      </c>
      <c r="B821" s="26">
        <v>805</v>
      </c>
      <c r="C821" s="65" t="s">
        <v>60</v>
      </c>
      <c r="D821" s="65" t="s">
        <v>78</v>
      </c>
      <c r="E821" s="26"/>
      <c r="F821" s="26"/>
      <c r="G821" s="66">
        <f>G822</f>
        <v>0</v>
      </c>
      <c r="H821" s="66">
        <f>H822</f>
        <v>0</v>
      </c>
      <c r="I821" s="67">
        <f t="shared" si="149"/>
        <v>0</v>
      </c>
      <c r="J821" s="66">
        <f>J822</f>
        <v>0</v>
      </c>
      <c r="K821" s="67">
        <f t="shared" si="145"/>
        <v>0</v>
      </c>
      <c r="L821" s="66">
        <f>L822</f>
        <v>1707.0000000000002</v>
      </c>
      <c r="M821" s="67">
        <f t="shared" si="146"/>
        <v>1707.0000000000002</v>
      </c>
      <c r="N821" s="66">
        <f>N822</f>
        <v>961.4</v>
      </c>
      <c r="O821" s="67">
        <f t="shared" si="148"/>
        <v>2668.4</v>
      </c>
    </row>
    <row r="822" spans="1:15" x14ac:dyDescent="0.2">
      <c r="A822" s="64" t="str">
        <f ca="1">IF(ISERROR(MATCH(E822,Код_КЦСР,0)),"",INDIRECT(ADDRESS(MATCH(E822,Код_КЦСР,0)+1,2,,,"КЦСР")))</f>
        <v>Муниципальная программа «Развитие образования» на 2013 – 2022 годы</v>
      </c>
      <c r="B822" s="26">
        <v>805</v>
      </c>
      <c r="C822" s="65" t="s">
        <v>60</v>
      </c>
      <c r="D822" s="65" t="s">
        <v>78</v>
      </c>
      <c r="E822" s="26" t="s">
        <v>199</v>
      </c>
      <c r="F822" s="26"/>
      <c r="G822" s="66">
        <f>G823+G832+G838</f>
        <v>0</v>
      </c>
      <c r="H822" s="66">
        <f>H823+H832+H838</f>
        <v>0</v>
      </c>
      <c r="I822" s="67">
        <f t="shared" si="149"/>
        <v>0</v>
      </c>
      <c r="J822" s="66">
        <f>J823+J832+J838</f>
        <v>0</v>
      </c>
      <c r="K822" s="67">
        <f t="shared" si="145"/>
        <v>0</v>
      </c>
      <c r="L822" s="66">
        <f>L823+L832+L838</f>
        <v>1707.0000000000002</v>
      </c>
      <c r="M822" s="67">
        <f t="shared" si="146"/>
        <v>1707.0000000000002</v>
      </c>
      <c r="N822" s="66">
        <f>N823+N832+N838</f>
        <v>961.4</v>
      </c>
      <c r="O822" s="67">
        <f t="shared" si="148"/>
        <v>2668.4</v>
      </c>
    </row>
    <row r="823" spans="1:15" x14ac:dyDescent="0.2">
      <c r="A823" s="64" t="str">
        <f ca="1">IF(ISERROR(MATCH(E823,Код_КЦСР,0)),"",INDIRECT(ADDRESS(MATCH(E823,Код_КЦСР,0)+1,2,,,"КЦСР")))</f>
        <v>Дошкольное образование</v>
      </c>
      <c r="B823" s="26">
        <v>805</v>
      </c>
      <c r="C823" s="65" t="s">
        <v>60</v>
      </c>
      <c r="D823" s="65" t="s">
        <v>78</v>
      </c>
      <c r="E823" s="26" t="s">
        <v>198</v>
      </c>
      <c r="F823" s="26"/>
      <c r="G823" s="66">
        <f>G828</f>
        <v>0</v>
      </c>
      <c r="H823" s="66">
        <f>H828</f>
        <v>0</v>
      </c>
      <c r="I823" s="67">
        <f t="shared" si="149"/>
        <v>0</v>
      </c>
      <c r="J823" s="66">
        <f>J828</f>
        <v>0</v>
      </c>
      <c r="K823" s="67">
        <f t="shared" si="145"/>
        <v>0</v>
      </c>
      <c r="L823" s="66">
        <f>L828</f>
        <v>966.30000000000007</v>
      </c>
      <c r="M823" s="67">
        <f t="shared" si="146"/>
        <v>966.30000000000007</v>
      </c>
      <c r="N823" s="66">
        <f>N828+N824</f>
        <v>576.5</v>
      </c>
      <c r="O823" s="67">
        <f t="shared" si="148"/>
        <v>1542.8000000000002</v>
      </c>
    </row>
    <row r="824" spans="1:15" ht="33" x14ac:dyDescent="0.2">
      <c r="A824" s="64" t="str">
        <f ca="1">IF(ISERROR(MATCH(E824,Код_КЦСР,0)),"",INDIRECT(ADDRESS(MATCH(E824,Код_КЦСР,0)+1,2,,,"КЦСР")))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</v>
      </c>
      <c r="B824" s="26">
        <v>805</v>
      </c>
      <c r="C824" s="65" t="s">
        <v>60</v>
      </c>
      <c r="D824" s="65" t="s">
        <v>78</v>
      </c>
      <c r="E824" s="26" t="s">
        <v>200</v>
      </c>
      <c r="F824" s="26"/>
      <c r="G824" s="66"/>
      <c r="H824" s="66"/>
      <c r="I824" s="67"/>
      <c r="J824" s="66"/>
      <c r="K824" s="67"/>
      <c r="L824" s="66"/>
      <c r="M824" s="67"/>
      <c r="N824" s="66">
        <f>N825</f>
        <v>21</v>
      </c>
      <c r="O824" s="67">
        <f t="shared" si="148"/>
        <v>21</v>
      </c>
    </row>
    <row r="825" spans="1:15" ht="49.5" x14ac:dyDescent="0.2">
      <c r="A825" s="64" t="str">
        <f ca="1">IF(ISERROR(MATCH(E825,Код_КЦСР,0)),"",INDIRECT(ADDRESS(MATCH(E825,Код_КЦСР,0)+1,2,,,"КЦСР")))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учреждениях, за счет средств областного бюджета</v>
      </c>
      <c r="B825" s="26">
        <v>805</v>
      </c>
      <c r="C825" s="65" t="s">
        <v>60</v>
      </c>
      <c r="D825" s="65" t="s">
        <v>78</v>
      </c>
      <c r="E825" s="26" t="s">
        <v>426</v>
      </c>
      <c r="F825" s="26"/>
      <c r="G825" s="66"/>
      <c r="H825" s="66"/>
      <c r="I825" s="67"/>
      <c r="J825" s="66"/>
      <c r="K825" s="67"/>
      <c r="L825" s="66"/>
      <c r="M825" s="67"/>
      <c r="N825" s="66">
        <f>N826</f>
        <v>21</v>
      </c>
      <c r="O825" s="67">
        <f t="shared" si="148"/>
        <v>21</v>
      </c>
    </row>
    <row r="826" spans="1:15" ht="33" x14ac:dyDescent="0.2">
      <c r="A826" s="64" t="str">
        <f ca="1">IF(ISERROR(MATCH(F826,Код_КВР,0)),"",INDIRECT(ADDRESS(MATCH(F826,Код_КВР,0)+1,2,,,"КВР")))</f>
        <v>Предоставление субсидий бюджетным, автономным учреждениям и иным некоммерческим организациям</v>
      </c>
      <c r="B826" s="26">
        <v>805</v>
      </c>
      <c r="C826" s="65" t="s">
        <v>60</v>
      </c>
      <c r="D826" s="65" t="s">
        <v>78</v>
      </c>
      <c r="E826" s="26" t="s">
        <v>426</v>
      </c>
      <c r="F826" s="26">
        <v>600</v>
      </c>
      <c r="G826" s="66"/>
      <c r="H826" s="66"/>
      <c r="I826" s="67"/>
      <c r="J826" s="66"/>
      <c r="K826" s="67"/>
      <c r="L826" s="66"/>
      <c r="M826" s="67"/>
      <c r="N826" s="66">
        <f>N827</f>
        <v>21</v>
      </c>
      <c r="O826" s="67">
        <f t="shared" si="148"/>
        <v>21</v>
      </c>
    </row>
    <row r="827" spans="1:15" x14ac:dyDescent="0.2">
      <c r="A827" s="64" t="str">
        <f ca="1">IF(ISERROR(MATCH(F827,Код_КВР,0)),"",INDIRECT(ADDRESS(MATCH(F827,Код_КВР,0)+1,2,,,"КВР")))</f>
        <v>Субсидии бюджетным учреждениям</v>
      </c>
      <c r="B827" s="26">
        <v>805</v>
      </c>
      <c r="C827" s="65" t="s">
        <v>60</v>
      </c>
      <c r="D827" s="65" t="s">
        <v>78</v>
      </c>
      <c r="E827" s="26" t="s">
        <v>426</v>
      </c>
      <c r="F827" s="26">
        <v>610</v>
      </c>
      <c r="G827" s="66"/>
      <c r="H827" s="66"/>
      <c r="I827" s="67"/>
      <c r="J827" s="66"/>
      <c r="K827" s="67"/>
      <c r="L827" s="66"/>
      <c r="M827" s="67"/>
      <c r="N827" s="66">
        <v>21</v>
      </c>
      <c r="O827" s="67">
        <f t="shared" si="148"/>
        <v>21</v>
      </c>
    </row>
    <row r="828" spans="1:15" ht="82.5" x14ac:dyDescent="0.2">
      <c r="A828" s="64" t="str">
        <f ca="1">IF(ISERROR(MATCH(E828,Код_КЦСР,0)),"",INDIRECT(ADDRESS(MATCH(E828,Код_КЦСР,0)+1,2,,,"КЦСР")))</f>
        <v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v>
      </c>
      <c r="B828" s="26">
        <v>805</v>
      </c>
      <c r="C828" s="65" t="s">
        <v>60</v>
      </c>
      <c r="D828" s="65" t="s">
        <v>78</v>
      </c>
      <c r="E828" s="26" t="s">
        <v>201</v>
      </c>
      <c r="F828" s="26"/>
      <c r="G828" s="66">
        <f>G829</f>
        <v>0</v>
      </c>
      <c r="H828" s="66">
        <f>H829</f>
        <v>0</v>
      </c>
      <c r="I828" s="67">
        <f t="shared" si="149"/>
        <v>0</v>
      </c>
      <c r="J828" s="66">
        <f>J829</f>
        <v>0</v>
      </c>
      <c r="K828" s="67">
        <f t="shared" si="145"/>
        <v>0</v>
      </c>
      <c r="L828" s="66">
        <f>L829</f>
        <v>966.30000000000007</v>
      </c>
      <c r="M828" s="67">
        <f t="shared" si="146"/>
        <v>966.30000000000007</v>
      </c>
      <c r="N828" s="66">
        <f>N829</f>
        <v>555.5</v>
      </c>
      <c r="O828" s="67">
        <f t="shared" si="148"/>
        <v>1521.8000000000002</v>
      </c>
    </row>
    <row r="829" spans="1:15" ht="33" x14ac:dyDescent="0.2">
      <c r="A829" s="64" t="str">
        <f ca="1">IF(ISERROR(MATCH(F829,Код_КВР,0)),"",INDIRECT(ADDRESS(MATCH(F829,Код_КВР,0)+1,2,,,"КВР")))</f>
        <v>Предоставление субсидий бюджетным, автономным учреждениям и иным некоммерческим организациям</v>
      </c>
      <c r="B829" s="26">
        <v>805</v>
      </c>
      <c r="C829" s="65" t="s">
        <v>60</v>
      </c>
      <c r="D829" s="65" t="s">
        <v>78</v>
      </c>
      <c r="E829" s="26" t="s">
        <v>201</v>
      </c>
      <c r="F829" s="26">
        <v>600</v>
      </c>
      <c r="G829" s="66">
        <f>G830+G831</f>
        <v>0</v>
      </c>
      <c r="H829" s="66">
        <f>H830+H831</f>
        <v>0</v>
      </c>
      <c r="I829" s="67">
        <f t="shared" si="149"/>
        <v>0</v>
      </c>
      <c r="J829" s="66">
        <f>J830+J831</f>
        <v>0</v>
      </c>
      <c r="K829" s="67">
        <f t="shared" si="145"/>
        <v>0</v>
      </c>
      <c r="L829" s="66">
        <f>L830+L831</f>
        <v>966.30000000000007</v>
      </c>
      <c r="M829" s="67">
        <f t="shared" si="146"/>
        <v>966.30000000000007</v>
      </c>
      <c r="N829" s="66">
        <f>N830+N831</f>
        <v>555.5</v>
      </c>
      <c r="O829" s="67">
        <f t="shared" si="148"/>
        <v>1521.8000000000002</v>
      </c>
    </row>
    <row r="830" spans="1:15" x14ac:dyDescent="0.2">
      <c r="A830" s="64" t="str">
        <f ca="1">IF(ISERROR(MATCH(F830,Код_КВР,0)),"",INDIRECT(ADDRESS(MATCH(F830,Код_КВР,0)+1,2,,,"КВР")))</f>
        <v>Субсидии бюджетным учреждениям</v>
      </c>
      <c r="B830" s="26">
        <v>805</v>
      </c>
      <c r="C830" s="65" t="s">
        <v>60</v>
      </c>
      <c r="D830" s="65" t="s">
        <v>78</v>
      </c>
      <c r="E830" s="26" t="s">
        <v>201</v>
      </c>
      <c r="F830" s="26">
        <v>610</v>
      </c>
      <c r="G830" s="66"/>
      <c r="H830" s="66"/>
      <c r="I830" s="67">
        <f t="shared" si="149"/>
        <v>0</v>
      </c>
      <c r="J830" s="66"/>
      <c r="K830" s="67">
        <f t="shared" si="145"/>
        <v>0</v>
      </c>
      <c r="L830" s="66">
        <f>851+55.7</f>
        <v>906.7</v>
      </c>
      <c r="M830" s="67">
        <f t="shared" si="146"/>
        <v>906.7</v>
      </c>
      <c r="N830" s="66">
        <f>128+427.5</f>
        <v>555.5</v>
      </c>
      <c r="O830" s="67">
        <f t="shared" si="148"/>
        <v>1462.2</v>
      </c>
    </row>
    <row r="831" spans="1:15" x14ac:dyDescent="0.2">
      <c r="A831" s="64" t="str">
        <f ca="1">IF(ISERROR(MATCH(F831,Код_КВР,0)),"",INDIRECT(ADDRESS(MATCH(F831,Код_КВР,0)+1,2,,,"КВР")))</f>
        <v>Субсидии автономным учреждениям</v>
      </c>
      <c r="B831" s="26">
        <v>805</v>
      </c>
      <c r="C831" s="65" t="s">
        <v>60</v>
      </c>
      <c r="D831" s="65" t="s">
        <v>78</v>
      </c>
      <c r="E831" s="26" t="s">
        <v>201</v>
      </c>
      <c r="F831" s="26">
        <v>620</v>
      </c>
      <c r="G831" s="66"/>
      <c r="H831" s="66"/>
      <c r="I831" s="67">
        <f t="shared" si="149"/>
        <v>0</v>
      </c>
      <c r="J831" s="66"/>
      <c r="K831" s="67">
        <f t="shared" si="145"/>
        <v>0</v>
      </c>
      <c r="L831" s="66">
        <v>59.6</v>
      </c>
      <c r="M831" s="67">
        <f t="shared" si="146"/>
        <v>59.6</v>
      </c>
      <c r="N831" s="66"/>
      <c r="O831" s="67">
        <f t="shared" si="148"/>
        <v>59.6</v>
      </c>
    </row>
    <row r="832" spans="1:15" x14ac:dyDescent="0.2">
      <c r="A832" s="64" t="str">
        <f ca="1">IF(ISERROR(MATCH(E832,Код_КЦСР,0)),"",INDIRECT(ADDRESS(MATCH(E832,Код_КЦСР,0)+1,2,,,"КЦСР")))</f>
        <v>Общее образование</v>
      </c>
      <c r="B832" s="26">
        <v>805</v>
      </c>
      <c r="C832" s="65" t="s">
        <v>60</v>
      </c>
      <c r="D832" s="65" t="s">
        <v>78</v>
      </c>
      <c r="E832" s="26" t="s">
        <v>204</v>
      </c>
      <c r="F832" s="26"/>
      <c r="G832" s="66">
        <f t="shared" ref="G832:N835" si="152">G833</f>
        <v>0</v>
      </c>
      <c r="H832" s="66">
        <f t="shared" si="152"/>
        <v>0</v>
      </c>
      <c r="I832" s="67">
        <f t="shared" si="149"/>
        <v>0</v>
      </c>
      <c r="J832" s="66">
        <f t="shared" si="152"/>
        <v>0</v>
      </c>
      <c r="K832" s="67">
        <f t="shared" si="145"/>
        <v>0</v>
      </c>
      <c r="L832" s="66">
        <f t="shared" si="152"/>
        <v>709</v>
      </c>
      <c r="M832" s="67">
        <f t="shared" si="146"/>
        <v>709</v>
      </c>
      <c r="N832" s="66">
        <f t="shared" si="152"/>
        <v>354</v>
      </c>
      <c r="O832" s="67">
        <f t="shared" si="148"/>
        <v>1063</v>
      </c>
    </row>
    <row r="833" spans="1:15" ht="49.5" x14ac:dyDescent="0.2">
      <c r="A833" s="64" t="str">
        <f ca="1">IF(ISERROR(MATCH(E833,Код_КЦСР,0)),"",INDIRECT(ADDRESS(MATCH(E833,Код_КЦСР,0)+1,2,,,"КЦСР")))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v>
      </c>
      <c r="B833" s="26">
        <v>805</v>
      </c>
      <c r="C833" s="65" t="s">
        <v>60</v>
      </c>
      <c r="D833" s="65" t="s">
        <v>78</v>
      </c>
      <c r="E833" s="26" t="s">
        <v>205</v>
      </c>
      <c r="F833" s="26"/>
      <c r="G833" s="66">
        <f t="shared" si="152"/>
        <v>0</v>
      </c>
      <c r="H833" s="66">
        <f t="shared" si="152"/>
        <v>0</v>
      </c>
      <c r="I833" s="67">
        <f t="shared" si="149"/>
        <v>0</v>
      </c>
      <c r="J833" s="66">
        <f t="shared" si="152"/>
        <v>0</v>
      </c>
      <c r="K833" s="67">
        <f t="shared" si="145"/>
        <v>0</v>
      </c>
      <c r="L833" s="66">
        <f t="shared" si="152"/>
        <v>709</v>
      </c>
      <c r="M833" s="67">
        <f t="shared" si="146"/>
        <v>709</v>
      </c>
      <c r="N833" s="66">
        <f t="shared" si="152"/>
        <v>354</v>
      </c>
      <c r="O833" s="67">
        <f t="shared" si="148"/>
        <v>1063</v>
      </c>
    </row>
    <row r="834" spans="1:15" ht="66" x14ac:dyDescent="0.2">
      <c r="A834" s="64" t="str">
        <f ca="1">IF(ISERROR(MATCH(E834,Код_КЦСР,0)),"",INDIRECT(ADDRESS(MATCH(E834,Код_КЦСР,0)+1,2,,,"КЦСР")))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учреждениях, за счет средств городского бюджета</v>
      </c>
      <c r="B834" s="26">
        <v>805</v>
      </c>
      <c r="C834" s="65" t="s">
        <v>60</v>
      </c>
      <c r="D834" s="65" t="s">
        <v>78</v>
      </c>
      <c r="E834" s="26" t="s">
        <v>206</v>
      </c>
      <c r="F834" s="26"/>
      <c r="G834" s="66">
        <f t="shared" si="152"/>
        <v>0</v>
      </c>
      <c r="H834" s="66">
        <f t="shared" si="152"/>
        <v>0</v>
      </c>
      <c r="I834" s="67">
        <f t="shared" si="149"/>
        <v>0</v>
      </c>
      <c r="J834" s="66">
        <f t="shared" si="152"/>
        <v>0</v>
      </c>
      <c r="K834" s="67">
        <f t="shared" ref="K834:K898" si="153">I834+J834</f>
        <v>0</v>
      </c>
      <c r="L834" s="66">
        <f t="shared" si="152"/>
        <v>709</v>
      </c>
      <c r="M834" s="67">
        <f t="shared" ref="M834:M898" si="154">K834+L834</f>
        <v>709</v>
      </c>
      <c r="N834" s="66">
        <f t="shared" si="152"/>
        <v>354</v>
      </c>
      <c r="O834" s="67">
        <f t="shared" si="148"/>
        <v>1063</v>
      </c>
    </row>
    <row r="835" spans="1:15" ht="33" x14ac:dyDescent="0.2">
      <c r="A835" s="64" t="str">
        <f ca="1">IF(ISERROR(MATCH(F835,Код_КВР,0)),"",INDIRECT(ADDRESS(MATCH(F835,Код_КВР,0)+1,2,,,"КВР")))</f>
        <v>Предоставление субсидий бюджетным, автономным учреждениям и иным некоммерческим организациям</v>
      </c>
      <c r="B835" s="26">
        <v>805</v>
      </c>
      <c r="C835" s="65" t="s">
        <v>60</v>
      </c>
      <c r="D835" s="65" t="s">
        <v>78</v>
      </c>
      <c r="E835" s="26" t="s">
        <v>206</v>
      </c>
      <c r="F835" s="26">
        <v>600</v>
      </c>
      <c r="G835" s="66">
        <f t="shared" si="152"/>
        <v>0</v>
      </c>
      <c r="H835" s="66">
        <f t="shared" si="152"/>
        <v>0</v>
      </c>
      <c r="I835" s="67">
        <f t="shared" si="149"/>
        <v>0</v>
      </c>
      <c r="J835" s="66">
        <f t="shared" si="152"/>
        <v>0</v>
      </c>
      <c r="K835" s="67">
        <f t="shared" si="153"/>
        <v>0</v>
      </c>
      <c r="L835" s="66">
        <f>L836+L837</f>
        <v>709</v>
      </c>
      <c r="M835" s="67">
        <f t="shared" si="154"/>
        <v>709</v>
      </c>
      <c r="N835" s="66">
        <f>N836+N837</f>
        <v>354</v>
      </c>
      <c r="O835" s="67">
        <f t="shared" si="148"/>
        <v>1063</v>
      </c>
    </row>
    <row r="836" spans="1:15" x14ac:dyDescent="0.2">
      <c r="A836" s="64" t="str">
        <f ca="1">IF(ISERROR(MATCH(F836,Код_КВР,0)),"",INDIRECT(ADDRESS(MATCH(F836,Код_КВР,0)+1,2,,,"КВР")))</f>
        <v>Субсидии бюджетным учреждениям</v>
      </c>
      <c r="B836" s="26">
        <v>805</v>
      </c>
      <c r="C836" s="65" t="s">
        <v>60</v>
      </c>
      <c r="D836" s="65" t="s">
        <v>78</v>
      </c>
      <c r="E836" s="26" t="s">
        <v>206</v>
      </c>
      <c r="F836" s="26">
        <v>610</v>
      </c>
      <c r="G836" s="66"/>
      <c r="H836" s="66"/>
      <c r="I836" s="67">
        <f t="shared" si="149"/>
        <v>0</v>
      </c>
      <c r="J836" s="66"/>
      <c r="K836" s="67">
        <f t="shared" si="153"/>
        <v>0</v>
      </c>
      <c r="L836" s="66">
        <f>693.3</f>
        <v>693.3</v>
      </c>
      <c r="M836" s="67">
        <f t="shared" si="154"/>
        <v>693.3</v>
      </c>
      <c r="N836" s="66">
        <f>5+349</f>
        <v>354</v>
      </c>
      <c r="O836" s="67">
        <f t="shared" si="148"/>
        <v>1047.3</v>
      </c>
    </row>
    <row r="837" spans="1:15" x14ac:dyDescent="0.2">
      <c r="A837" s="64" t="str">
        <f ca="1">IF(ISERROR(MATCH(F837,Код_КВР,0)),"",INDIRECT(ADDRESS(MATCH(F837,Код_КВР,0)+1,2,,,"КВР")))</f>
        <v>Субсидии автономным учреждениям</v>
      </c>
      <c r="B837" s="26">
        <v>805</v>
      </c>
      <c r="C837" s="65" t="s">
        <v>60</v>
      </c>
      <c r="D837" s="65" t="s">
        <v>78</v>
      </c>
      <c r="E837" s="26" t="s">
        <v>206</v>
      </c>
      <c r="F837" s="26">
        <v>620</v>
      </c>
      <c r="G837" s="66"/>
      <c r="H837" s="66"/>
      <c r="I837" s="67"/>
      <c r="J837" s="66"/>
      <c r="K837" s="67"/>
      <c r="L837" s="66">
        <v>15.7</v>
      </c>
      <c r="M837" s="67">
        <f t="shared" si="154"/>
        <v>15.7</v>
      </c>
      <c r="N837" s="66"/>
      <c r="O837" s="67">
        <f t="shared" si="148"/>
        <v>15.7</v>
      </c>
    </row>
    <row r="838" spans="1:15" x14ac:dyDescent="0.2">
      <c r="A838" s="64" t="str">
        <f ca="1">IF(ISERROR(MATCH(E838,Код_КЦСР,0)),"",INDIRECT(ADDRESS(MATCH(E838,Код_КЦСР,0)+1,2,,,"КЦСР")))</f>
        <v>Дополнительное образование</v>
      </c>
      <c r="B838" s="26">
        <v>805</v>
      </c>
      <c r="C838" s="65" t="s">
        <v>60</v>
      </c>
      <c r="D838" s="65" t="s">
        <v>78</v>
      </c>
      <c r="E838" s="26" t="s">
        <v>211</v>
      </c>
      <c r="F838" s="26"/>
      <c r="G838" s="66">
        <f t="shared" ref="G838:N840" si="155">G839</f>
        <v>0</v>
      </c>
      <c r="H838" s="66">
        <f t="shared" si="155"/>
        <v>0</v>
      </c>
      <c r="I838" s="67">
        <f t="shared" si="149"/>
        <v>0</v>
      </c>
      <c r="J838" s="66">
        <f t="shared" si="155"/>
        <v>0</v>
      </c>
      <c r="K838" s="67">
        <f t="shared" si="153"/>
        <v>0</v>
      </c>
      <c r="L838" s="66">
        <f t="shared" si="155"/>
        <v>31.7</v>
      </c>
      <c r="M838" s="67">
        <f t="shared" si="154"/>
        <v>31.7</v>
      </c>
      <c r="N838" s="66">
        <f t="shared" si="155"/>
        <v>30.9</v>
      </c>
      <c r="O838" s="67">
        <f t="shared" si="148"/>
        <v>62.599999999999994</v>
      </c>
    </row>
    <row r="839" spans="1:15" x14ac:dyDescent="0.2">
      <c r="A839" s="64" t="str">
        <f ca="1">IF(ISERROR(MATCH(E839,Код_КЦСР,0)),"",INDIRECT(ADDRESS(MATCH(E839,Код_КЦСР,0)+1,2,,,"КЦСР")))</f>
        <v>Организация предоставления дополнительного образования детям</v>
      </c>
      <c r="B839" s="26">
        <v>805</v>
      </c>
      <c r="C839" s="65" t="s">
        <v>60</v>
      </c>
      <c r="D839" s="65" t="s">
        <v>78</v>
      </c>
      <c r="E839" s="26" t="s">
        <v>212</v>
      </c>
      <c r="F839" s="26"/>
      <c r="G839" s="66">
        <f t="shared" si="155"/>
        <v>0</v>
      </c>
      <c r="H839" s="66">
        <f t="shared" si="155"/>
        <v>0</v>
      </c>
      <c r="I839" s="67">
        <f t="shared" si="149"/>
        <v>0</v>
      </c>
      <c r="J839" s="66">
        <f t="shared" si="155"/>
        <v>0</v>
      </c>
      <c r="K839" s="67">
        <f t="shared" si="153"/>
        <v>0</v>
      </c>
      <c r="L839" s="66">
        <f t="shared" si="155"/>
        <v>31.7</v>
      </c>
      <c r="M839" s="67">
        <f t="shared" si="154"/>
        <v>31.7</v>
      </c>
      <c r="N839" s="66">
        <f t="shared" si="155"/>
        <v>30.9</v>
      </c>
      <c r="O839" s="67">
        <f t="shared" si="148"/>
        <v>62.599999999999994</v>
      </c>
    </row>
    <row r="840" spans="1:15" ht="33" x14ac:dyDescent="0.2">
      <c r="A840" s="64" t="str">
        <f ca="1">IF(ISERROR(MATCH(F840,Код_КВР,0)),"",INDIRECT(ADDRESS(MATCH(F840,Код_КВР,0)+1,2,,,"КВР")))</f>
        <v>Предоставление субсидий бюджетным, автономным учреждениям и иным некоммерческим организациям</v>
      </c>
      <c r="B840" s="26">
        <v>805</v>
      </c>
      <c r="C840" s="65" t="s">
        <v>60</v>
      </c>
      <c r="D840" s="65" t="s">
        <v>78</v>
      </c>
      <c r="E840" s="26" t="s">
        <v>212</v>
      </c>
      <c r="F840" s="26">
        <v>600</v>
      </c>
      <c r="G840" s="66">
        <f t="shared" si="155"/>
        <v>0</v>
      </c>
      <c r="H840" s="66">
        <f t="shared" si="155"/>
        <v>0</v>
      </c>
      <c r="I840" s="67">
        <f t="shared" si="149"/>
        <v>0</v>
      </c>
      <c r="J840" s="66">
        <f t="shared" si="155"/>
        <v>0</v>
      </c>
      <c r="K840" s="67">
        <f t="shared" si="153"/>
        <v>0</v>
      </c>
      <c r="L840" s="66">
        <f t="shared" si="155"/>
        <v>31.7</v>
      </c>
      <c r="M840" s="67">
        <f t="shared" si="154"/>
        <v>31.7</v>
      </c>
      <c r="N840" s="66">
        <f t="shared" si="155"/>
        <v>30.9</v>
      </c>
      <c r="O840" s="67">
        <f t="shared" si="148"/>
        <v>62.599999999999994</v>
      </c>
    </row>
    <row r="841" spans="1:15" x14ac:dyDescent="0.2">
      <c r="A841" s="64" t="str">
        <f ca="1">IF(ISERROR(MATCH(F841,Код_КВР,0)),"",INDIRECT(ADDRESS(MATCH(F841,Код_КВР,0)+1,2,,,"КВР")))</f>
        <v>Субсидии бюджетным учреждениям</v>
      </c>
      <c r="B841" s="26">
        <v>805</v>
      </c>
      <c r="C841" s="65" t="s">
        <v>60</v>
      </c>
      <c r="D841" s="65" t="s">
        <v>78</v>
      </c>
      <c r="E841" s="26" t="s">
        <v>212</v>
      </c>
      <c r="F841" s="26">
        <v>610</v>
      </c>
      <c r="G841" s="66"/>
      <c r="H841" s="66"/>
      <c r="I841" s="67">
        <f t="shared" si="149"/>
        <v>0</v>
      </c>
      <c r="J841" s="66"/>
      <c r="K841" s="67">
        <f t="shared" si="153"/>
        <v>0</v>
      </c>
      <c r="L841" s="66">
        <v>31.7</v>
      </c>
      <c r="M841" s="67">
        <f t="shared" si="154"/>
        <v>31.7</v>
      </c>
      <c r="N841" s="66">
        <v>30.9</v>
      </c>
      <c r="O841" s="67">
        <f t="shared" si="148"/>
        <v>62.599999999999994</v>
      </c>
    </row>
    <row r="842" spans="1:15" x14ac:dyDescent="0.2">
      <c r="A842" s="74" t="s">
        <v>103</v>
      </c>
      <c r="B842" s="26">
        <v>805</v>
      </c>
      <c r="C842" s="65" t="s">
        <v>60</v>
      </c>
      <c r="D842" s="65" t="s">
        <v>76</v>
      </c>
      <c r="E842" s="26"/>
      <c r="F842" s="26"/>
      <c r="G842" s="66">
        <f>G843</f>
        <v>81195.5</v>
      </c>
      <c r="H842" s="66">
        <f>H843</f>
        <v>0</v>
      </c>
      <c r="I842" s="67">
        <f t="shared" si="149"/>
        <v>81195.5</v>
      </c>
      <c r="J842" s="66">
        <f>J843</f>
        <v>0</v>
      </c>
      <c r="K842" s="67">
        <f t="shared" si="153"/>
        <v>81195.5</v>
      </c>
      <c r="L842" s="66">
        <f>L843</f>
        <v>0</v>
      </c>
      <c r="M842" s="67">
        <f t="shared" si="154"/>
        <v>81195.5</v>
      </c>
      <c r="N842" s="66">
        <f>N843</f>
        <v>0</v>
      </c>
      <c r="O842" s="67">
        <f t="shared" si="148"/>
        <v>81195.5</v>
      </c>
    </row>
    <row r="843" spans="1:15" x14ac:dyDescent="0.2">
      <c r="A843" s="64" t="str">
        <f ca="1">IF(ISERROR(MATCH(E843,Код_КЦСР,0)),"",INDIRECT(ADDRESS(MATCH(E843,Код_КЦСР,0)+1,2,,,"КЦСР")))</f>
        <v>Муниципальная программа «Развитие образования» на 2013 – 2022 годы</v>
      </c>
      <c r="B843" s="26">
        <v>805</v>
      </c>
      <c r="C843" s="65" t="s">
        <v>60</v>
      </c>
      <c r="D843" s="65" t="s">
        <v>76</v>
      </c>
      <c r="E843" s="26" t="s">
        <v>199</v>
      </c>
      <c r="F843" s="26"/>
      <c r="G843" s="66">
        <f>G844+G847+G851+G858</f>
        <v>81195.5</v>
      </c>
      <c r="H843" s="66">
        <f>H844+H847+H851+H858</f>
        <v>0</v>
      </c>
      <c r="I843" s="67">
        <f t="shared" si="149"/>
        <v>81195.5</v>
      </c>
      <c r="J843" s="66">
        <f>J844+J847+J851+J858</f>
        <v>0</v>
      </c>
      <c r="K843" s="67">
        <f t="shared" si="153"/>
        <v>81195.5</v>
      </c>
      <c r="L843" s="66">
        <f>L844+L847+L851+L858</f>
        <v>0</v>
      </c>
      <c r="M843" s="67">
        <f t="shared" si="154"/>
        <v>81195.5</v>
      </c>
      <c r="N843" s="66">
        <f>N844+N847+N851+N858</f>
        <v>0</v>
      </c>
      <c r="O843" s="67">
        <f t="shared" si="148"/>
        <v>81195.5</v>
      </c>
    </row>
    <row r="844" spans="1:15" ht="66" x14ac:dyDescent="0.2">
      <c r="A844" s="64" t="str">
        <f ca="1">IF(ISERROR(MATCH(E844,Код_КЦСР,0)),"",INDIRECT(ADDRESS(MATCH(E844,Код_КЦСР,0)+1,2,,,"КЦСР")))</f>
        <v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v>
      </c>
      <c r="B844" s="26">
        <v>805</v>
      </c>
      <c r="C844" s="65" t="s">
        <v>60</v>
      </c>
      <c r="D844" s="65" t="s">
        <v>76</v>
      </c>
      <c r="E844" s="26" t="s">
        <v>190</v>
      </c>
      <c r="F844" s="26"/>
      <c r="G844" s="66">
        <f t="shared" ref="G844:N845" si="156">G845</f>
        <v>92.7</v>
      </c>
      <c r="H844" s="66">
        <f t="shared" si="156"/>
        <v>0</v>
      </c>
      <c r="I844" s="67">
        <f t="shared" si="149"/>
        <v>92.7</v>
      </c>
      <c r="J844" s="66">
        <f t="shared" si="156"/>
        <v>0</v>
      </c>
      <c r="K844" s="67">
        <f t="shared" si="153"/>
        <v>92.7</v>
      </c>
      <c r="L844" s="66">
        <f t="shared" si="156"/>
        <v>0</v>
      </c>
      <c r="M844" s="67">
        <f t="shared" si="154"/>
        <v>92.7</v>
      </c>
      <c r="N844" s="66">
        <f t="shared" si="156"/>
        <v>0</v>
      </c>
      <c r="O844" s="67">
        <f t="shared" si="148"/>
        <v>92.7</v>
      </c>
    </row>
    <row r="845" spans="1:15" ht="33" x14ac:dyDescent="0.2">
      <c r="A845" s="64" t="str">
        <f ca="1">IF(ISERROR(MATCH(F845,Код_КВР,0)),"",INDIRECT(ADDRESS(MATCH(F845,Код_КВР,0)+1,2,,,"КВР")))</f>
        <v>Закупка товаров, работ и услуг для обеспечения государственных (муниципальных) нужд</v>
      </c>
      <c r="B845" s="26">
        <v>805</v>
      </c>
      <c r="C845" s="65" t="s">
        <v>60</v>
      </c>
      <c r="D845" s="65" t="s">
        <v>76</v>
      </c>
      <c r="E845" s="26" t="s">
        <v>190</v>
      </c>
      <c r="F845" s="26">
        <v>200</v>
      </c>
      <c r="G845" s="66">
        <f t="shared" si="156"/>
        <v>92.7</v>
      </c>
      <c r="H845" s="66">
        <f t="shared" si="156"/>
        <v>0</v>
      </c>
      <c r="I845" s="67">
        <f t="shared" si="149"/>
        <v>92.7</v>
      </c>
      <c r="J845" s="66">
        <f t="shared" si="156"/>
        <v>0</v>
      </c>
      <c r="K845" s="67">
        <f t="shared" si="153"/>
        <v>92.7</v>
      </c>
      <c r="L845" s="66">
        <f t="shared" si="156"/>
        <v>0</v>
      </c>
      <c r="M845" s="67">
        <f t="shared" si="154"/>
        <v>92.7</v>
      </c>
      <c r="N845" s="66">
        <f t="shared" si="156"/>
        <v>0</v>
      </c>
      <c r="O845" s="67">
        <f t="shared" si="148"/>
        <v>92.7</v>
      </c>
    </row>
    <row r="846" spans="1:15" ht="33" x14ac:dyDescent="0.2">
      <c r="A846" s="64" t="str">
        <f ca="1">IF(ISERROR(MATCH(F846,Код_КВР,0)),"",INDIRECT(ADDRESS(MATCH(F846,Код_КВР,0)+1,2,,,"КВР")))</f>
        <v>Иные закупки товаров, работ и услуг для обеспечения государственных (муниципальных) нужд</v>
      </c>
      <c r="B846" s="26">
        <v>805</v>
      </c>
      <c r="C846" s="65" t="s">
        <v>60</v>
      </c>
      <c r="D846" s="65" t="s">
        <v>76</v>
      </c>
      <c r="E846" s="26" t="s">
        <v>190</v>
      </c>
      <c r="F846" s="26">
        <v>240</v>
      </c>
      <c r="G846" s="66">
        <v>92.7</v>
      </c>
      <c r="H846" s="66"/>
      <c r="I846" s="67">
        <f t="shared" si="149"/>
        <v>92.7</v>
      </c>
      <c r="J846" s="66"/>
      <c r="K846" s="67">
        <f t="shared" si="153"/>
        <v>92.7</v>
      </c>
      <c r="L846" s="66"/>
      <c r="M846" s="67">
        <f t="shared" si="154"/>
        <v>92.7</v>
      </c>
      <c r="N846" s="66"/>
      <c r="O846" s="67">
        <f t="shared" si="148"/>
        <v>92.7</v>
      </c>
    </row>
    <row r="847" spans="1:15" hidden="1" x14ac:dyDescent="0.2">
      <c r="A847" s="64" t="str">
        <f ca="1">IF(ISERROR(MATCH(E847,Код_КЦСР,0)),"",INDIRECT(ADDRESS(MATCH(E847,Код_КЦСР,0)+1,2,,,"КЦСР")))</f>
        <v>Обеспечение питанием обучающихся в МОУ</v>
      </c>
      <c r="B847" s="26">
        <v>805</v>
      </c>
      <c r="C847" s="65" t="s">
        <v>60</v>
      </c>
      <c r="D847" s="65" t="s">
        <v>76</v>
      </c>
      <c r="E847" s="26" t="s">
        <v>193</v>
      </c>
      <c r="F847" s="26"/>
      <c r="G847" s="66">
        <f t="shared" ref="G847:N849" si="157">G848</f>
        <v>0</v>
      </c>
      <c r="H847" s="66">
        <f t="shared" si="157"/>
        <v>0</v>
      </c>
      <c r="I847" s="67">
        <f t="shared" si="149"/>
        <v>0</v>
      </c>
      <c r="J847" s="66">
        <f t="shared" si="157"/>
        <v>0</v>
      </c>
      <c r="K847" s="67">
        <f t="shared" si="153"/>
        <v>0</v>
      </c>
      <c r="L847" s="66">
        <f t="shared" si="157"/>
        <v>0</v>
      </c>
      <c r="M847" s="67">
        <f t="shared" si="154"/>
        <v>0</v>
      </c>
      <c r="N847" s="66">
        <f t="shared" si="157"/>
        <v>0</v>
      </c>
      <c r="O847" s="67">
        <f t="shared" si="148"/>
        <v>0</v>
      </c>
    </row>
    <row r="848" spans="1:15" ht="33" hidden="1" x14ac:dyDescent="0.2">
      <c r="A848" s="64" t="str">
        <f ca="1">IF(ISERROR(MATCH(E848,Код_КЦСР,0)),"",INDIRECT(ADDRESS(MATCH(E848,Код_КЦСР,0)+1,2,,,"КЦСР")))</f>
        <v>Обеспечение питанием обучающихся в МОУ, за счет средств городского бюджета</v>
      </c>
      <c r="B848" s="26">
        <v>805</v>
      </c>
      <c r="C848" s="65" t="s">
        <v>60</v>
      </c>
      <c r="D848" s="65" t="s">
        <v>76</v>
      </c>
      <c r="E848" s="26" t="s">
        <v>191</v>
      </c>
      <c r="F848" s="26"/>
      <c r="G848" s="66">
        <f t="shared" si="157"/>
        <v>0</v>
      </c>
      <c r="H848" s="66">
        <f t="shared" si="157"/>
        <v>0</v>
      </c>
      <c r="I848" s="67">
        <f t="shared" si="149"/>
        <v>0</v>
      </c>
      <c r="J848" s="66">
        <f t="shared" si="157"/>
        <v>0</v>
      </c>
      <c r="K848" s="67">
        <f t="shared" si="153"/>
        <v>0</v>
      </c>
      <c r="L848" s="66">
        <f t="shared" si="157"/>
        <v>0</v>
      </c>
      <c r="M848" s="67">
        <f t="shared" si="154"/>
        <v>0</v>
      </c>
      <c r="N848" s="66">
        <f t="shared" si="157"/>
        <v>0</v>
      </c>
      <c r="O848" s="67">
        <f t="shared" si="148"/>
        <v>0</v>
      </c>
    </row>
    <row r="849" spans="1:15" ht="33" hidden="1" x14ac:dyDescent="0.2">
      <c r="A849" s="64" t="str">
        <f ca="1">IF(ISERROR(MATCH(F849,Код_КВР,0)),"",INDIRECT(ADDRESS(MATCH(F849,Код_КВР,0)+1,2,,,"КВР")))</f>
        <v>Предоставление субсидий бюджетным, автономным учреждениям и иным некоммерческим организациям</v>
      </c>
      <c r="B849" s="26">
        <v>805</v>
      </c>
      <c r="C849" s="65" t="s">
        <v>60</v>
      </c>
      <c r="D849" s="65" t="s">
        <v>76</v>
      </c>
      <c r="E849" s="26" t="s">
        <v>191</v>
      </c>
      <c r="F849" s="26">
        <v>600</v>
      </c>
      <c r="G849" s="66">
        <f t="shared" si="157"/>
        <v>0</v>
      </c>
      <c r="H849" s="66">
        <f t="shared" si="157"/>
        <v>0</v>
      </c>
      <c r="I849" s="67">
        <f t="shared" si="149"/>
        <v>0</v>
      </c>
      <c r="J849" s="66">
        <f t="shared" si="157"/>
        <v>0</v>
      </c>
      <c r="K849" s="67">
        <f t="shared" si="153"/>
        <v>0</v>
      </c>
      <c r="L849" s="66">
        <f t="shared" si="157"/>
        <v>0</v>
      </c>
      <c r="M849" s="67">
        <f t="shared" si="154"/>
        <v>0</v>
      </c>
      <c r="N849" s="66">
        <f t="shared" si="157"/>
        <v>0</v>
      </c>
      <c r="O849" s="67">
        <f t="shared" si="148"/>
        <v>0</v>
      </c>
    </row>
    <row r="850" spans="1:15" hidden="1" x14ac:dyDescent="0.2">
      <c r="A850" s="64" t="str">
        <f ca="1">IF(ISERROR(MATCH(F850,Код_КВР,0)),"",INDIRECT(ADDRESS(MATCH(F850,Код_КВР,0)+1,2,,,"КВР")))</f>
        <v>Субсидии автономным учреждениям</v>
      </c>
      <c r="B850" s="26">
        <v>805</v>
      </c>
      <c r="C850" s="65" t="s">
        <v>60</v>
      </c>
      <c r="D850" s="65" t="s">
        <v>76</v>
      </c>
      <c r="E850" s="26" t="s">
        <v>191</v>
      </c>
      <c r="F850" s="26">
        <v>620</v>
      </c>
      <c r="G850" s="67"/>
      <c r="H850" s="67"/>
      <c r="I850" s="67">
        <f t="shared" si="149"/>
        <v>0</v>
      </c>
      <c r="J850" s="67"/>
      <c r="K850" s="67">
        <f t="shared" si="153"/>
        <v>0</v>
      </c>
      <c r="L850" s="67"/>
      <c r="M850" s="67">
        <f t="shared" si="154"/>
        <v>0</v>
      </c>
      <c r="N850" s="67"/>
      <c r="O850" s="67">
        <f t="shared" si="148"/>
        <v>0</v>
      </c>
    </row>
    <row r="851" spans="1:15" ht="33" x14ac:dyDescent="0.2">
      <c r="A851" s="64" t="str">
        <f ca="1">IF(ISERROR(MATCH(E851,Код_КЦСР,0)),"",INDIRECT(ADDRESS(MATCH(E851,Код_КЦСР,0)+1,2,,,"КЦСР")))</f>
        <v>Обеспечение работы по организации и ведению бухгалтерского (бюджетного) учета и отчетности</v>
      </c>
      <c r="B851" s="26">
        <v>805</v>
      </c>
      <c r="C851" s="65" t="s">
        <v>60</v>
      </c>
      <c r="D851" s="65" t="s">
        <v>76</v>
      </c>
      <c r="E851" s="26" t="s">
        <v>194</v>
      </c>
      <c r="F851" s="26"/>
      <c r="G851" s="66">
        <f>G852+G854+G856</f>
        <v>65774.7</v>
      </c>
      <c r="H851" s="66">
        <f>H852+H854+H856</f>
        <v>0</v>
      </c>
      <c r="I851" s="67">
        <f t="shared" si="149"/>
        <v>65774.7</v>
      </c>
      <c r="J851" s="66">
        <f>J852+J854+J856</f>
        <v>0</v>
      </c>
      <c r="K851" s="67">
        <f t="shared" si="153"/>
        <v>65774.7</v>
      </c>
      <c r="L851" s="66">
        <f>L852+L854+L856</f>
        <v>0</v>
      </c>
      <c r="M851" s="67">
        <f t="shared" si="154"/>
        <v>65774.7</v>
      </c>
      <c r="N851" s="66">
        <f>N852+N854+N856</f>
        <v>0</v>
      </c>
      <c r="O851" s="67">
        <f t="shared" ref="O851:O914" si="158">M851+N851</f>
        <v>65774.7</v>
      </c>
    </row>
    <row r="852" spans="1:15" ht="49.5" x14ac:dyDescent="0.2">
      <c r="A852" s="64" t="str">
        <f t="shared" ref="A852:A857" ca="1" si="159">IF(ISERROR(MATCH(F852,Код_КВР,0)),"",INDIRECT(ADDRESS(MATCH(F852,Код_КВР,0)+1,2,,,"КВР")))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52" s="26">
        <v>805</v>
      </c>
      <c r="C852" s="65" t="s">
        <v>60</v>
      </c>
      <c r="D852" s="65" t="s">
        <v>76</v>
      </c>
      <c r="E852" s="26" t="s">
        <v>194</v>
      </c>
      <c r="F852" s="26">
        <v>100</v>
      </c>
      <c r="G852" s="66">
        <f>G853</f>
        <v>58551.5</v>
      </c>
      <c r="H852" s="66">
        <f>H853</f>
        <v>0</v>
      </c>
      <c r="I852" s="67">
        <f t="shared" si="149"/>
        <v>58551.5</v>
      </c>
      <c r="J852" s="66">
        <f>J853</f>
        <v>0</v>
      </c>
      <c r="K852" s="67">
        <f t="shared" si="153"/>
        <v>58551.5</v>
      </c>
      <c r="L852" s="66">
        <f>L853</f>
        <v>0</v>
      </c>
      <c r="M852" s="67">
        <f t="shared" si="154"/>
        <v>58551.5</v>
      </c>
      <c r="N852" s="66">
        <f>N853</f>
        <v>0</v>
      </c>
      <c r="O852" s="67">
        <f t="shared" si="158"/>
        <v>58551.5</v>
      </c>
    </row>
    <row r="853" spans="1:15" x14ac:dyDescent="0.2">
      <c r="A853" s="64" t="str">
        <f t="shared" ca="1" si="159"/>
        <v>Расходы на выплаты персоналу казенных учреждений</v>
      </c>
      <c r="B853" s="26">
        <v>805</v>
      </c>
      <c r="C853" s="65" t="s">
        <v>60</v>
      </c>
      <c r="D853" s="65" t="s">
        <v>76</v>
      </c>
      <c r="E853" s="26" t="s">
        <v>194</v>
      </c>
      <c r="F853" s="26">
        <v>110</v>
      </c>
      <c r="G853" s="66">
        <v>58551.5</v>
      </c>
      <c r="H853" s="66"/>
      <c r="I853" s="67">
        <f t="shared" si="149"/>
        <v>58551.5</v>
      </c>
      <c r="J853" s="66"/>
      <c r="K853" s="67">
        <f t="shared" si="153"/>
        <v>58551.5</v>
      </c>
      <c r="L853" s="66"/>
      <c r="M853" s="67">
        <f t="shared" si="154"/>
        <v>58551.5</v>
      </c>
      <c r="N853" s="66"/>
      <c r="O853" s="67">
        <f t="shared" si="158"/>
        <v>58551.5</v>
      </c>
    </row>
    <row r="854" spans="1:15" ht="33" x14ac:dyDescent="0.2">
      <c r="A854" s="64" t="str">
        <f t="shared" ca="1" si="159"/>
        <v>Закупка товаров, работ и услуг для обеспечения государственных (муниципальных) нужд</v>
      </c>
      <c r="B854" s="26">
        <v>805</v>
      </c>
      <c r="C854" s="65" t="s">
        <v>60</v>
      </c>
      <c r="D854" s="65" t="s">
        <v>76</v>
      </c>
      <c r="E854" s="26" t="s">
        <v>194</v>
      </c>
      <c r="F854" s="26">
        <v>200</v>
      </c>
      <c r="G854" s="66">
        <f>G855</f>
        <v>6947.3</v>
      </c>
      <c r="H854" s="66">
        <f>H855</f>
        <v>0</v>
      </c>
      <c r="I854" s="67">
        <f t="shared" si="149"/>
        <v>6947.3</v>
      </c>
      <c r="J854" s="66">
        <f>J855</f>
        <v>0</v>
      </c>
      <c r="K854" s="67">
        <f t="shared" si="153"/>
        <v>6947.3</v>
      </c>
      <c r="L854" s="66">
        <f>L855</f>
        <v>0</v>
      </c>
      <c r="M854" s="67">
        <f t="shared" si="154"/>
        <v>6947.3</v>
      </c>
      <c r="N854" s="66">
        <f>N855</f>
        <v>0</v>
      </c>
      <c r="O854" s="67">
        <f t="shared" si="158"/>
        <v>6947.3</v>
      </c>
    </row>
    <row r="855" spans="1:15" ht="33" x14ac:dyDescent="0.2">
      <c r="A855" s="64" t="str">
        <f t="shared" ca="1" si="159"/>
        <v>Иные закупки товаров, работ и услуг для обеспечения государственных (муниципальных) нужд</v>
      </c>
      <c r="B855" s="26">
        <v>805</v>
      </c>
      <c r="C855" s="65" t="s">
        <v>60</v>
      </c>
      <c r="D855" s="65" t="s">
        <v>76</v>
      </c>
      <c r="E855" s="26" t="s">
        <v>194</v>
      </c>
      <c r="F855" s="26">
        <v>240</v>
      </c>
      <c r="G855" s="66">
        <v>6947.3</v>
      </c>
      <c r="H855" s="66"/>
      <c r="I855" s="67">
        <f t="shared" si="149"/>
        <v>6947.3</v>
      </c>
      <c r="J855" s="66"/>
      <c r="K855" s="67">
        <f t="shared" si="153"/>
        <v>6947.3</v>
      </c>
      <c r="L855" s="66"/>
      <c r="M855" s="67">
        <f t="shared" si="154"/>
        <v>6947.3</v>
      </c>
      <c r="N855" s="66"/>
      <c r="O855" s="67">
        <f t="shared" si="158"/>
        <v>6947.3</v>
      </c>
    </row>
    <row r="856" spans="1:15" x14ac:dyDescent="0.2">
      <c r="A856" s="64" t="str">
        <f t="shared" ca="1" si="159"/>
        <v>Иные бюджетные ассигнования</v>
      </c>
      <c r="B856" s="26">
        <v>805</v>
      </c>
      <c r="C856" s="65" t="s">
        <v>60</v>
      </c>
      <c r="D856" s="65" t="s">
        <v>76</v>
      </c>
      <c r="E856" s="26" t="s">
        <v>194</v>
      </c>
      <c r="F856" s="26">
        <v>800</v>
      </c>
      <c r="G856" s="66">
        <f>G857</f>
        <v>275.89999999999998</v>
      </c>
      <c r="H856" s="66">
        <f>H857</f>
        <v>0</v>
      </c>
      <c r="I856" s="67">
        <f t="shared" si="149"/>
        <v>275.89999999999998</v>
      </c>
      <c r="J856" s="66">
        <f>J857</f>
        <v>0</v>
      </c>
      <c r="K856" s="67">
        <f t="shared" si="153"/>
        <v>275.89999999999998</v>
      </c>
      <c r="L856" s="66">
        <f>L857</f>
        <v>0</v>
      </c>
      <c r="M856" s="67">
        <f t="shared" si="154"/>
        <v>275.89999999999998</v>
      </c>
      <c r="N856" s="66">
        <f>N857</f>
        <v>0</v>
      </c>
      <c r="O856" s="67">
        <f t="shared" si="158"/>
        <v>275.89999999999998</v>
      </c>
    </row>
    <row r="857" spans="1:15" x14ac:dyDescent="0.2">
      <c r="A857" s="64" t="str">
        <f t="shared" ca="1" si="159"/>
        <v>Уплата налогов, сборов и иных платежей</v>
      </c>
      <c r="B857" s="26">
        <v>805</v>
      </c>
      <c r="C857" s="65" t="s">
        <v>60</v>
      </c>
      <c r="D857" s="65" t="s">
        <v>76</v>
      </c>
      <c r="E857" s="26" t="s">
        <v>194</v>
      </c>
      <c r="F857" s="26">
        <v>850</v>
      </c>
      <c r="G857" s="66">
        <v>275.89999999999998</v>
      </c>
      <c r="H857" s="66"/>
      <c r="I857" s="67">
        <f t="shared" si="149"/>
        <v>275.89999999999998</v>
      </c>
      <c r="J857" s="66"/>
      <c r="K857" s="67">
        <f t="shared" si="153"/>
        <v>275.89999999999998</v>
      </c>
      <c r="L857" s="66"/>
      <c r="M857" s="67">
        <f t="shared" si="154"/>
        <v>275.89999999999998</v>
      </c>
      <c r="N857" s="66"/>
      <c r="O857" s="67">
        <f t="shared" si="158"/>
        <v>275.89999999999998</v>
      </c>
    </row>
    <row r="858" spans="1:15" ht="49.5" x14ac:dyDescent="0.2">
      <c r="A858" s="64" t="str">
        <f ca="1">IF(ISERROR(MATCH(E858,Код_КЦСР,0)),"",INDIRECT(ADDRESS(MATCH(E858,Код_КЦСР,0)+1,2,,,"КЦСР")))</f>
        <v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v>
      </c>
      <c r="B858" s="26">
        <v>805</v>
      </c>
      <c r="C858" s="65" t="s">
        <v>60</v>
      </c>
      <c r="D858" s="65" t="s">
        <v>76</v>
      </c>
      <c r="E858" s="26" t="s">
        <v>195</v>
      </c>
      <c r="F858" s="26"/>
      <c r="G858" s="66">
        <f>G859</f>
        <v>15328.099999999999</v>
      </c>
      <c r="H858" s="66">
        <f>H859</f>
        <v>0</v>
      </c>
      <c r="I858" s="67">
        <f t="shared" si="149"/>
        <v>15328.099999999999</v>
      </c>
      <c r="J858" s="66">
        <f>J859</f>
        <v>0</v>
      </c>
      <c r="K858" s="67">
        <f t="shared" si="153"/>
        <v>15328.099999999999</v>
      </c>
      <c r="L858" s="66">
        <f>L859</f>
        <v>0</v>
      </c>
      <c r="M858" s="67">
        <f t="shared" si="154"/>
        <v>15328.099999999999</v>
      </c>
      <c r="N858" s="66">
        <f>N859</f>
        <v>0</v>
      </c>
      <c r="O858" s="67">
        <f t="shared" si="158"/>
        <v>15328.099999999999</v>
      </c>
    </row>
    <row r="859" spans="1:15" x14ac:dyDescent="0.2">
      <c r="A859" s="64" t="str">
        <f ca="1">IF(ISERROR(MATCH(E859,Код_КЦСР,0)),"",INDIRECT(ADDRESS(MATCH(E859,Код_КЦСР,0)+1,2,,,"КЦСР")))</f>
        <v>Расходы на обеспечение функций органов местного самоуправления</v>
      </c>
      <c r="B859" s="26">
        <v>805</v>
      </c>
      <c r="C859" s="65" t="s">
        <v>60</v>
      </c>
      <c r="D859" s="65" t="s">
        <v>76</v>
      </c>
      <c r="E859" s="26" t="s">
        <v>196</v>
      </c>
      <c r="F859" s="26"/>
      <c r="G859" s="66">
        <f>G860+G862</f>
        <v>15328.099999999999</v>
      </c>
      <c r="H859" s="66">
        <f>H860+H862</f>
        <v>0</v>
      </c>
      <c r="I859" s="67">
        <f t="shared" si="149"/>
        <v>15328.099999999999</v>
      </c>
      <c r="J859" s="66">
        <f>J860+J862</f>
        <v>0</v>
      </c>
      <c r="K859" s="67">
        <f t="shared" si="153"/>
        <v>15328.099999999999</v>
      </c>
      <c r="L859" s="66">
        <f>L860+L862</f>
        <v>0</v>
      </c>
      <c r="M859" s="67">
        <f t="shared" si="154"/>
        <v>15328.099999999999</v>
      </c>
      <c r="N859" s="66">
        <f>N860+N862</f>
        <v>0</v>
      </c>
      <c r="O859" s="67">
        <f t="shared" si="158"/>
        <v>15328.099999999999</v>
      </c>
    </row>
    <row r="860" spans="1:15" ht="49.5" x14ac:dyDescent="0.2">
      <c r="A860" s="64" t="str">
        <f ca="1">IF(ISERROR(MATCH(F860,Код_КВР,0)),"",INDIRECT(ADDRESS(MATCH(F860,Код_КВР,0)+1,2,,,"КВР")))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60" s="26">
        <v>805</v>
      </c>
      <c r="C860" s="65" t="s">
        <v>60</v>
      </c>
      <c r="D860" s="65" t="s">
        <v>76</v>
      </c>
      <c r="E860" s="26" t="s">
        <v>196</v>
      </c>
      <c r="F860" s="26">
        <v>100</v>
      </c>
      <c r="G860" s="66">
        <f>G861</f>
        <v>15272.8</v>
      </c>
      <c r="H860" s="66">
        <f>H861</f>
        <v>0</v>
      </c>
      <c r="I860" s="67">
        <f t="shared" si="149"/>
        <v>15272.8</v>
      </c>
      <c r="J860" s="66">
        <f>J861</f>
        <v>0</v>
      </c>
      <c r="K860" s="67">
        <f t="shared" si="153"/>
        <v>15272.8</v>
      </c>
      <c r="L860" s="66">
        <f>L861</f>
        <v>0</v>
      </c>
      <c r="M860" s="67">
        <f t="shared" si="154"/>
        <v>15272.8</v>
      </c>
      <c r="N860" s="66">
        <f>N861</f>
        <v>0</v>
      </c>
      <c r="O860" s="67">
        <f t="shared" si="158"/>
        <v>15272.8</v>
      </c>
    </row>
    <row r="861" spans="1:15" x14ac:dyDescent="0.2">
      <c r="A861" s="64" t="str">
        <f ca="1">IF(ISERROR(MATCH(F861,Код_КВР,0)),"",INDIRECT(ADDRESS(MATCH(F861,Код_КВР,0)+1,2,,,"КВР")))</f>
        <v>Расходы на выплаты персоналу государственных (муниципальных) органов</v>
      </c>
      <c r="B861" s="26">
        <v>805</v>
      </c>
      <c r="C861" s="65" t="s">
        <v>60</v>
      </c>
      <c r="D861" s="65" t="s">
        <v>76</v>
      </c>
      <c r="E861" s="26" t="s">
        <v>196</v>
      </c>
      <c r="F861" s="26">
        <v>120</v>
      </c>
      <c r="G861" s="66">
        <v>15272.8</v>
      </c>
      <c r="H861" s="66"/>
      <c r="I861" s="67">
        <f t="shared" si="149"/>
        <v>15272.8</v>
      </c>
      <c r="J861" s="66"/>
      <c r="K861" s="67">
        <f t="shared" si="153"/>
        <v>15272.8</v>
      </c>
      <c r="L861" s="66"/>
      <c r="M861" s="67">
        <f t="shared" si="154"/>
        <v>15272.8</v>
      </c>
      <c r="N861" s="66"/>
      <c r="O861" s="67">
        <f t="shared" si="158"/>
        <v>15272.8</v>
      </c>
    </row>
    <row r="862" spans="1:15" ht="33" x14ac:dyDescent="0.2">
      <c r="A862" s="64" t="str">
        <f ca="1">IF(ISERROR(MATCH(F862,Код_КВР,0)),"",INDIRECT(ADDRESS(MATCH(F862,Код_КВР,0)+1,2,,,"КВР")))</f>
        <v>Закупка товаров, работ и услуг для обеспечения государственных (муниципальных) нужд</v>
      </c>
      <c r="B862" s="26">
        <v>805</v>
      </c>
      <c r="C862" s="65" t="s">
        <v>60</v>
      </c>
      <c r="D862" s="65" t="s">
        <v>76</v>
      </c>
      <c r="E862" s="26" t="s">
        <v>196</v>
      </c>
      <c r="F862" s="26">
        <v>200</v>
      </c>
      <c r="G862" s="66">
        <f>G863</f>
        <v>55.3</v>
      </c>
      <c r="H862" s="66">
        <f>H863</f>
        <v>0</v>
      </c>
      <c r="I862" s="67">
        <f t="shared" si="149"/>
        <v>55.3</v>
      </c>
      <c r="J862" s="66">
        <f>J863</f>
        <v>0</v>
      </c>
      <c r="K862" s="67">
        <f t="shared" si="153"/>
        <v>55.3</v>
      </c>
      <c r="L862" s="66">
        <f>L863</f>
        <v>0</v>
      </c>
      <c r="M862" s="67">
        <f t="shared" si="154"/>
        <v>55.3</v>
      </c>
      <c r="N862" s="66">
        <f>N863</f>
        <v>0</v>
      </c>
      <c r="O862" s="67">
        <f t="shared" si="158"/>
        <v>55.3</v>
      </c>
    </row>
    <row r="863" spans="1:15" ht="33" x14ac:dyDescent="0.2">
      <c r="A863" s="64" t="str">
        <f ca="1">IF(ISERROR(MATCH(F863,Код_КВР,0)),"",INDIRECT(ADDRESS(MATCH(F863,Код_КВР,0)+1,2,,,"КВР")))</f>
        <v>Иные закупки товаров, работ и услуг для обеспечения государственных (муниципальных) нужд</v>
      </c>
      <c r="B863" s="26">
        <v>805</v>
      </c>
      <c r="C863" s="65" t="s">
        <v>60</v>
      </c>
      <c r="D863" s="65" t="s">
        <v>76</v>
      </c>
      <c r="E863" s="26" t="s">
        <v>196</v>
      </c>
      <c r="F863" s="26">
        <v>240</v>
      </c>
      <c r="G863" s="66">
        <v>55.3</v>
      </c>
      <c r="H863" s="66"/>
      <c r="I863" s="67">
        <f t="shared" si="149"/>
        <v>55.3</v>
      </c>
      <c r="J863" s="66"/>
      <c r="K863" s="67">
        <f t="shared" si="153"/>
        <v>55.3</v>
      </c>
      <c r="L863" s="66"/>
      <c r="M863" s="67">
        <f t="shared" si="154"/>
        <v>55.3</v>
      </c>
      <c r="N863" s="66"/>
      <c r="O863" s="67">
        <f t="shared" si="158"/>
        <v>55.3</v>
      </c>
    </row>
    <row r="864" spans="1:15" x14ac:dyDescent="0.2">
      <c r="A864" s="64" t="str">
        <f ca="1">IF(ISERROR(MATCH(C864,Код_Раздел,0)),"",INDIRECT(ADDRESS(MATCH(C864,Код_Раздел,0)+1,2,,,"Раздел")))</f>
        <v>Социальная политика</v>
      </c>
      <c r="B864" s="26">
        <v>805</v>
      </c>
      <c r="C864" s="65" t="s">
        <v>53</v>
      </c>
      <c r="D864" s="65"/>
      <c r="E864" s="26"/>
      <c r="F864" s="26"/>
      <c r="G864" s="66">
        <f>G865+G876</f>
        <v>149177</v>
      </c>
      <c r="H864" s="66">
        <f>H865+H876</f>
        <v>0</v>
      </c>
      <c r="I864" s="67">
        <f t="shared" si="149"/>
        <v>149177</v>
      </c>
      <c r="J864" s="66">
        <f>J865+J876</f>
        <v>0</v>
      </c>
      <c r="K864" s="67">
        <f t="shared" si="153"/>
        <v>149177</v>
      </c>
      <c r="L864" s="66">
        <f>L865+L876</f>
        <v>0</v>
      </c>
      <c r="M864" s="67">
        <f t="shared" si="154"/>
        <v>149177</v>
      </c>
      <c r="N864" s="66">
        <f>N865+N876</f>
        <v>-318.39999999999998</v>
      </c>
      <c r="O864" s="67">
        <f t="shared" si="158"/>
        <v>148858.6</v>
      </c>
    </row>
    <row r="865" spans="1:15" x14ac:dyDescent="0.2">
      <c r="A865" s="74" t="s">
        <v>44</v>
      </c>
      <c r="B865" s="26">
        <v>805</v>
      </c>
      <c r="C865" s="65" t="s">
        <v>53</v>
      </c>
      <c r="D865" s="65" t="s">
        <v>72</v>
      </c>
      <c r="E865" s="26"/>
      <c r="F865" s="26"/>
      <c r="G865" s="66">
        <f t="shared" ref="G865:N868" si="160">G866</f>
        <v>37601.199999999997</v>
      </c>
      <c r="H865" s="66">
        <f t="shared" si="160"/>
        <v>0</v>
      </c>
      <c r="I865" s="67">
        <f t="shared" si="149"/>
        <v>37601.199999999997</v>
      </c>
      <c r="J865" s="66">
        <f t="shared" si="160"/>
        <v>0</v>
      </c>
      <c r="K865" s="67">
        <f t="shared" si="153"/>
        <v>37601.199999999997</v>
      </c>
      <c r="L865" s="66">
        <f t="shared" si="160"/>
        <v>0</v>
      </c>
      <c r="M865" s="67">
        <f t="shared" si="154"/>
        <v>37601.199999999997</v>
      </c>
      <c r="N865" s="66">
        <f t="shared" si="160"/>
        <v>-318.39999999999998</v>
      </c>
      <c r="O865" s="67">
        <f t="shared" si="158"/>
        <v>37282.799999999996</v>
      </c>
    </row>
    <row r="866" spans="1:15" x14ac:dyDescent="0.2">
      <c r="A866" s="64" t="str">
        <f ca="1">IF(ISERROR(MATCH(E866,Код_КЦСР,0)),"",INDIRECT(ADDRESS(MATCH(E866,Код_КЦСР,0)+1,2,,,"КЦСР")))</f>
        <v>Муниципальная программа «Развитие образования» на 2013 – 2022 годы</v>
      </c>
      <c r="B866" s="26">
        <v>805</v>
      </c>
      <c r="C866" s="65" t="s">
        <v>53</v>
      </c>
      <c r="D866" s="65" t="s">
        <v>72</v>
      </c>
      <c r="E866" s="26" t="s">
        <v>199</v>
      </c>
      <c r="F866" s="26"/>
      <c r="G866" s="66">
        <f t="shared" si="160"/>
        <v>37601.199999999997</v>
      </c>
      <c r="H866" s="66">
        <f t="shared" si="160"/>
        <v>0</v>
      </c>
      <c r="I866" s="67">
        <f t="shared" si="149"/>
        <v>37601.199999999997</v>
      </c>
      <c r="J866" s="66">
        <f t="shared" si="160"/>
        <v>0</v>
      </c>
      <c r="K866" s="67">
        <f t="shared" si="153"/>
        <v>37601.199999999997</v>
      </c>
      <c r="L866" s="66">
        <f t="shared" si="160"/>
        <v>0</v>
      </c>
      <c r="M866" s="67">
        <f t="shared" si="154"/>
        <v>37601.199999999997</v>
      </c>
      <c r="N866" s="66">
        <f t="shared" si="160"/>
        <v>-318.39999999999998</v>
      </c>
      <c r="O866" s="67">
        <f t="shared" si="158"/>
        <v>37282.799999999996</v>
      </c>
    </row>
    <row r="867" spans="1:15" x14ac:dyDescent="0.2">
      <c r="A867" s="64" t="str">
        <f ca="1">IF(ISERROR(MATCH(E867,Код_КЦСР,0)),"",INDIRECT(ADDRESS(MATCH(E867,Код_КЦСР,0)+1,2,,,"КЦСР")))</f>
        <v>Кадровое обеспечение муниципальной системы образования</v>
      </c>
      <c r="B867" s="26">
        <v>805</v>
      </c>
      <c r="C867" s="65" t="s">
        <v>53</v>
      </c>
      <c r="D867" s="65" t="s">
        <v>72</v>
      </c>
      <c r="E867" s="26" t="s">
        <v>216</v>
      </c>
      <c r="F867" s="26"/>
      <c r="G867" s="66">
        <f t="shared" si="160"/>
        <v>37601.199999999997</v>
      </c>
      <c r="H867" s="66">
        <f t="shared" si="160"/>
        <v>0</v>
      </c>
      <c r="I867" s="67">
        <f t="shared" si="149"/>
        <v>37601.199999999997</v>
      </c>
      <c r="J867" s="66">
        <f t="shared" si="160"/>
        <v>0</v>
      </c>
      <c r="K867" s="67">
        <f t="shared" si="153"/>
        <v>37601.199999999997</v>
      </c>
      <c r="L867" s="66">
        <f t="shared" si="160"/>
        <v>0</v>
      </c>
      <c r="M867" s="67">
        <f t="shared" si="154"/>
        <v>37601.199999999997</v>
      </c>
      <c r="N867" s="66">
        <f t="shared" si="160"/>
        <v>-318.39999999999998</v>
      </c>
      <c r="O867" s="67">
        <f t="shared" si="158"/>
        <v>37282.799999999996</v>
      </c>
    </row>
    <row r="868" spans="1:15" ht="33" x14ac:dyDescent="0.2">
      <c r="A868" s="64" t="str">
        <f ca="1">IF(ISERROR(MATCH(E868,Код_КЦСР,0)),"",INDIRECT(ADDRESS(MATCH(E868,Код_КЦСР,0)+1,2,,,"КЦСР")))</f>
        <v>Осуществление денежных выплат работникам муниципальных образовательных учреждений</v>
      </c>
      <c r="B868" s="26">
        <v>805</v>
      </c>
      <c r="C868" s="65" t="s">
        <v>53</v>
      </c>
      <c r="D868" s="65" t="s">
        <v>72</v>
      </c>
      <c r="E868" s="26" t="s">
        <v>221</v>
      </c>
      <c r="F868" s="26"/>
      <c r="G868" s="66">
        <f t="shared" si="160"/>
        <v>37601.199999999997</v>
      </c>
      <c r="H868" s="66">
        <f t="shared" si="160"/>
        <v>0</v>
      </c>
      <c r="I868" s="67">
        <f t="shared" si="149"/>
        <v>37601.199999999997</v>
      </c>
      <c r="J868" s="66">
        <f t="shared" si="160"/>
        <v>0</v>
      </c>
      <c r="K868" s="67">
        <f t="shared" si="153"/>
        <v>37601.199999999997</v>
      </c>
      <c r="L868" s="66">
        <f t="shared" si="160"/>
        <v>0</v>
      </c>
      <c r="M868" s="67">
        <f t="shared" si="154"/>
        <v>37601.199999999997</v>
      </c>
      <c r="N868" s="66">
        <f t="shared" si="160"/>
        <v>-318.39999999999998</v>
      </c>
      <c r="O868" s="67">
        <f t="shared" si="158"/>
        <v>37282.799999999996</v>
      </c>
    </row>
    <row r="869" spans="1:15" ht="33" x14ac:dyDescent="0.2">
      <c r="A869" s="64" t="str">
        <f ca="1">IF(ISERROR(MATCH(E869,Код_КЦСР,0)),"",INDIRECT(ADDRESS(MATCH(E869,Код_КЦСР,0)+1,2,,,"КЦСР")))</f>
        <v>Осуществление денежных выплат работникам муниципальных образовательных учреждений, за счет средств городского бюджета</v>
      </c>
      <c r="B869" s="26">
        <v>805</v>
      </c>
      <c r="C869" s="65" t="s">
        <v>53</v>
      </c>
      <c r="D869" s="65" t="s">
        <v>72</v>
      </c>
      <c r="E869" s="26" t="s">
        <v>223</v>
      </c>
      <c r="F869" s="26"/>
      <c r="G869" s="66">
        <f>G873+G870</f>
        <v>37601.199999999997</v>
      </c>
      <c r="H869" s="66">
        <f>H873+H870</f>
        <v>0</v>
      </c>
      <c r="I869" s="67">
        <f t="shared" si="149"/>
        <v>37601.199999999997</v>
      </c>
      <c r="J869" s="66">
        <f>J873+J870</f>
        <v>0</v>
      </c>
      <c r="K869" s="67">
        <f t="shared" si="153"/>
        <v>37601.199999999997</v>
      </c>
      <c r="L869" s="66">
        <f>L873+L870</f>
        <v>0</v>
      </c>
      <c r="M869" s="67">
        <f t="shared" si="154"/>
        <v>37601.199999999997</v>
      </c>
      <c r="N869" s="66">
        <f>N873+N870</f>
        <v>-318.39999999999998</v>
      </c>
      <c r="O869" s="67">
        <f t="shared" si="158"/>
        <v>37282.799999999996</v>
      </c>
    </row>
    <row r="870" spans="1:15" ht="99" x14ac:dyDescent="0.2">
      <c r="A870" s="73" t="str">
        <f ca="1">IF(ISERROR(MATCH(E870,Код_КЦСР,0)),"",INDIRECT(ADDRESS(MATCH(E870,Код_КЦСР,0)+1,2,,,"КЦСР")))</f>
        <v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реорганизации, в соответствии с решением Череповецкой городской Думы от 29.05.2012 № 97</v>
      </c>
      <c r="B870" s="26">
        <v>805</v>
      </c>
      <c r="C870" s="65" t="s">
        <v>53</v>
      </c>
      <c r="D870" s="65" t="s">
        <v>72</v>
      </c>
      <c r="E870" s="26" t="s">
        <v>224</v>
      </c>
      <c r="F870" s="26"/>
      <c r="G870" s="66">
        <f>G871</f>
        <v>8424</v>
      </c>
      <c r="H870" s="66">
        <f>H871</f>
        <v>0</v>
      </c>
      <c r="I870" s="67">
        <f t="shared" si="149"/>
        <v>8424</v>
      </c>
      <c r="J870" s="66">
        <f>J871</f>
        <v>0</v>
      </c>
      <c r="K870" s="67">
        <f t="shared" si="153"/>
        <v>8424</v>
      </c>
      <c r="L870" s="66">
        <f>L871</f>
        <v>0</v>
      </c>
      <c r="M870" s="67">
        <f t="shared" si="154"/>
        <v>8424</v>
      </c>
      <c r="N870" s="66">
        <f>N871</f>
        <v>-129</v>
      </c>
      <c r="O870" s="67">
        <f t="shared" si="158"/>
        <v>8295</v>
      </c>
    </row>
    <row r="871" spans="1:15" x14ac:dyDescent="0.2">
      <c r="A871" s="64" t="str">
        <f ca="1">IF(ISERROR(MATCH(F871,Код_КВР,0)),"",INDIRECT(ADDRESS(MATCH(F871,Код_КВР,0)+1,2,,,"КВР")))</f>
        <v>Социальное обеспечение и иные выплаты населению</v>
      </c>
      <c r="B871" s="26">
        <v>805</v>
      </c>
      <c r="C871" s="65" t="s">
        <v>53</v>
      </c>
      <c r="D871" s="65" t="s">
        <v>72</v>
      </c>
      <c r="E871" s="26" t="s">
        <v>224</v>
      </c>
      <c r="F871" s="26">
        <v>300</v>
      </c>
      <c r="G871" s="66">
        <f>G872</f>
        <v>8424</v>
      </c>
      <c r="H871" s="66">
        <f>H872</f>
        <v>0</v>
      </c>
      <c r="I871" s="67">
        <f t="shared" ref="I871:I934" si="161">G871+H871</f>
        <v>8424</v>
      </c>
      <c r="J871" s="66">
        <f>J872</f>
        <v>0</v>
      </c>
      <c r="K871" s="67">
        <f t="shared" si="153"/>
        <v>8424</v>
      </c>
      <c r="L871" s="66">
        <f>L872</f>
        <v>0</v>
      </c>
      <c r="M871" s="67">
        <f t="shared" si="154"/>
        <v>8424</v>
      </c>
      <c r="N871" s="66">
        <f>N872</f>
        <v>-129</v>
      </c>
      <c r="O871" s="67">
        <f t="shared" si="158"/>
        <v>8295</v>
      </c>
    </row>
    <row r="872" spans="1:15" x14ac:dyDescent="0.2">
      <c r="A872" s="64" t="str">
        <f ca="1">IF(ISERROR(MATCH(F872,Код_КВР,0)),"",INDIRECT(ADDRESS(MATCH(F872,Код_КВР,0)+1,2,,,"КВР")))</f>
        <v>Публичные нормативные социальные выплаты гражданам</v>
      </c>
      <c r="B872" s="26">
        <v>805</v>
      </c>
      <c r="C872" s="65" t="s">
        <v>53</v>
      </c>
      <c r="D872" s="65" t="s">
        <v>72</v>
      </c>
      <c r="E872" s="26" t="s">
        <v>224</v>
      </c>
      <c r="F872" s="26">
        <v>310</v>
      </c>
      <c r="G872" s="66">
        <v>8424</v>
      </c>
      <c r="H872" s="66"/>
      <c r="I872" s="67">
        <f t="shared" si="161"/>
        <v>8424</v>
      </c>
      <c r="J872" s="66"/>
      <c r="K872" s="67">
        <f t="shared" si="153"/>
        <v>8424</v>
      </c>
      <c r="L872" s="66"/>
      <c r="M872" s="67">
        <f t="shared" si="154"/>
        <v>8424</v>
      </c>
      <c r="N872" s="66">
        <f>-129</f>
        <v>-129</v>
      </c>
      <c r="O872" s="67">
        <f t="shared" si="158"/>
        <v>8295</v>
      </c>
    </row>
    <row r="873" spans="1:15" ht="91.5" customHeight="1" x14ac:dyDescent="0.2">
      <c r="A873" s="64" t="str">
        <f ca="1">IF(ISERROR(MATCH(E873,Код_КЦСР,0)),"",INDIRECT(ADDRESS(MATCH(E873,Код_КЦСР,0)+1,2,,,"КЦСР")))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и дошкольных групп муниципальных общеобразовательных учреждений, образованных в результате реорганизации, в соответствии с решением Череповецкой городской Думы от 29.05.2012 № 94</v>
      </c>
      <c r="B873" s="26">
        <v>805</v>
      </c>
      <c r="C873" s="65" t="s">
        <v>53</v>
      </c>
      <c r="D873" s="65" t="s">
        <v>72</v>
      </c>
      <c r="E873" s="26" t="s">
        <v>225</v>
      </c>
      <c r="F873" s="26"/>
      <c r="G873" s="66">
        <f>G874</f>
        <v>29177.200000000001</v>
      </c>
      <c r="H873" s="66">
        <f>H874</f>
        <v>0</v>
      </c>
      <c r="I873" s="67">
        <f t="shared" si="161"/>
        <v>29177.200000000001</v>
      </c>
      <c r="J873" s="66">
        <f>J874</f>
        <v>0</v>
      </c>
      <c r="K873" s="67">
        <f t="shared" si="153"/>
        <v>29177.200000000001</v>
      </c>
      <c r="L873" s="66">
        <f>L874</f>
        <v>0</v>
      </c>
      <c r="M873" s="67">
        <f t="shared" si="154"/>
        <v>29177.200000000001</v>
      </c>
      <c r="N873" s="66">
        <f>N874</f>
        <v>-189.4</v>
      </c>
      <c r="O873" s="67">
        <f t="shared" si="158"/>
        <v>28987.8</v>
      </c>
    </row>
    <row r="874" spans="1:15" x14ac:dyDescent="0.2">
      <c r="A874" s="64" t="str">
        <f ca="1">IF(ISERROR(MATCH(F874,Код_КВР,0)),"",INDIRECT(ADDRESS(MATCH(F874,Код_КВР,0)+1,2,,,"КВР")))</f>
        <v>Социальное обеспечение и иные выплаты населению</v>
      </c>
      <c r="B874" s="26">
        <v>805</v>
      </c>
      <c r="C874" s="65" t="s">
        <v>53</v>
      </c>
      <c r="D874" s="65" t="s">
        <v>72</v>
      </c>
      <c r="E874" s="26" t="s">
        <v>225</v>
      </c>
      <c r="F874" s="26">
        <v>300</v>
      </c>
      <c r="G874" s="66">
        <f t="shared" ref="G874:N874" si="162">G875</f>
        <v>29177.200000000001</v>
      </c>
      <c r="H874" s="66">
        <f t="shared" si="162"/>
        <v>0</v>
      </c>
      <c r="I874" s="67">
        <f t="shared" si="161"/>
        <v>29177.200000000001</v>
      </c>
      <c r="J874" s="66">
        <f t="shared" si="162"/>
        <v>0</v>
      </c>
      <c r="K874" s="67">
        <f t="shared" si="153"/>
        <v>29177.200000000001</v>
      </c>
      <c r="L874" s="66">
        <f t="shared" si="162"/>
        <v>0</v>
      </c>
      <c r="M874" s="67">
        <f t="shared" si="154"/>
        <v>29177.200000000001</v>
      </c>
      <c r="N874" s="66">
        <f t="shared" si="162"/>
        <v>-189.4</v>
      </c>
      <c r="O874" s="67">
        <f t="shared" si="158"/>
        <v>28987.8</v>
      </c>
    </row>
    <row r="875" spans="1:15" x14ac:dyDescent="0.2">
      <c r="A875" s="64" t="str">
        <f ca="1">IF(ISERROR(MATCH(F875,Код_КВР,0)),"",INDIRECT(ADDRESS(MATCH(F875,Код_КВР,0)+1,2,,,"КВР")))</f>
        <v>Публичные нормативные социальные выплаты гражданам</v>
      </c>
      <c r="B875" s="26">
        <v>805</v>
      </c>
      <c r="C875" s="65" t="s">
        <v>53</v>
      </c>
      <c r="D875" s="65" t="s">
        <v>72</v>
      </c>
      <c r="E875" s="26" t="s">
        <v>225</v>
      </c>
      <c r="F875" s="26">
        <v>310</v>
      </c>
      <c r="G875" s="66">
        <v>29177.200000000001</v>
      </c>
      <c r="H875" s="66"/>
      <c r="I875" s="67">
        <f t="shared" si="161"/>
        <v>29177.200000000001</v>
      </c>
      <c r="J875" s="66"/>
      <c r="K875" s="67">
        <f t="shared" si="153"/>
        <v>29177.200000000001</v>
      </c>
      <c r="L875" s="66"/>
      <c r="M875" s="67">
        <f t="shared" si="154"/>
        <v>29177.200000000001</v>
      </c>
      <c r="N875" s="66">
        <v>-189.4</v>
      </c>
      <c r="O875" s="67">
        <f t="shared" si="158"/>
        <v>28987.8</v>
      </c>
    </row>
    <row r="876" spans="1:15" x14ac:dyDescent="0.2">
      <c r="A876" s="64" t="s">
        <v>66</v>
      </c>
      <c r="B876" s="26">
        <v>805</v>
      </c>
      <c r="C876" s="65" t="s">
        <v>53</v>
      </c>
      <c r="D876" s="65" t="s">
        <v>73</v>
      </c>
      <c r="E876" s="26"/>
      <c r="F876" s="26"/>
      <c r="G876" s="66">
        <f t="shared" ref="G876:N892" si="163">G877</f>
        <v>111575.8</v>
      </c>
      <c r="H876" s="66">
        <f t="shared" si="163"/>
        <v>0</v>
      </c>
      <c r="I876" s="67">
        <f t="shared" si="161"/>
        <v>111575.8</v>
      </c>
      <c r="J876" s="66">
        <f t="shared" si="163"/>
        <v>0</v>
      </c>
      <c r="K876" s="67">
        <f t="shared" si="153"/>
        <v>111575.8</v>
      </c>
      <c r="L876" s="66">
        <f t="shared" si="163"/>
        <v>0</v>
      </c>
      <c r="M876" s="67">
        <f t="shared" si="154"/>
        <v>111575.8</v>
      </c>
      <c r="N876" s="66">
        <f t="shared" si="163"/>
        <v>0</v>
      </c>
      <c r="O876" s="67">
        <f t="shared" si="158"/>
        <v>111575.8</v>
      </c>
    </row>
    <row r="877" spans="1:15" x14ac:dyDescent="0.2">
      <c r="A877" s="64" t="str">
        <f ca="1">IF(ISERROR(MATCH(E877,Код_КЦСР,0)),"",INDIRECT(ADDRESS(MATCH(E877,Код_КЦСР,0)+1,2,,,"КЦСР")))</f>
        <v>Муниципальная программа «Развитие образования» на 2013 – 2022 годы</v>
      </c>
      <c r="B877" s="26">
        <v>805</v>
      </c>
      <c r="C877" s="65" t="s">
        <v>53</v>
      </c>
      <c r="D877" s="65" t="s">
        <v>73</v>
      </c>
      <c r="E877" s="26" t="s">
        <v>199</v>
      </c>
      <c r="F877" s="26"/>
      <c r="G877" s="66">
        <f>G878+G883+G888</f>
        <v>111575.8</v>
      </c>
      <c r="H877" s="66">
        <f>H878+H883+H888</f>
        <v>0</v>
      </c>
      <c r="I877" s="67">
        <f t="shared" si="161"/>
        <v>111575.8</v>
      </c>
      <c r="J877" s="66">
        <f>J878+J883+J888</f>
        <v>0</v>
      </c>
      <c r="K877" s="67">
        <f t="shared" si="153"/>
        <v>111575.8</v>
      </c>
      <c r="L877" s="66">
        <f>L878+L883+L888</f>
        <v>0</v>
      </c>
      <c r="M877" s="67">
        <f t="shared" si="154"/>
        <v>111575.8</v>
      </c>
      <c r="N877" s="66">
        <f>N878+N883+N888</f>
        <v>0</v>
      </c>
      <c r="O877" s="67">
        <f t="shared" si="158"/>
        <v>111575.8</v>
      </c>
    </row>
    <row r="878" spans="1:15" x14ac:dyDescent="0.2">
      <c r="A878" s="64" t="str">
        <f ca="1">IF(ISERROR(MATCH(E878,Код_КЦСР,0)),"",INDIRECT(ADDRESS(MATCH(E878,Код_КЦСР,0)+1,2,,,"КЦСР")))</f>
        <v>Дошкольное образование</v>
      </c>
      <c r="B878" s="26">
        <v>805</v>
      </c>
      <c r="C878" s="65" t="s">
        <v>53</v>
      </c>
      <c r="D878" s="65" t="s">
        <v>73</v>
      </c>
      <c r="E878" s="26" t="s">
        <v>198</v>
      </c>
      <c r="F878" s="26"/>
      <c r="G878" s="66">
        <f t="shared" ref="G878:N881" si="164">G879</f>
        <v>73650</v>
      </c>
      <c r="H878" s="66">
        <f t="shared" si="164"/>
        <v>0</v>
      </c>
      <c r="I878" s="67">
        <f t="shared" si="161"/>
        <v>73650</v>
      </c>
      <c r="J878" s="66">
        <f t="shared" si="164"/>
        <v>0</v>
      </c>
      <c r="K878" s="67">
        <f t="shared" si="153"/>
        <v>73650</v>
      </c>
      <c r="L878" s="66">
        <f t="shared" si="164"/>
        <v>0</v>
      </c>
      <c r="M878" s="67">
        <f t="shared" si="154"/>
        <v>73650</v>
      </c>
      <c r="N878" s="66">
        <f t="shared" si="164"/>
        <v>0</v>
      </c>
      <c r="O878" s="67">
        <f t="shared" si="158"/>
        <v>73650</v>
      </c>
    </row>
    <row r="879" spans="1:15" ht="66" x14ac:dyDescent="0.2">
      <c r="A879" s="64" t="str">
        <f ca="1">IF(ISERROR(MATCH(E879,Код_КЦСР,0)),"",INDIRECT(ADDRESS(MATCH(E879,Код_КЦСР,0)+1,2,,,"КЦСР")))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– образовательные программы дошкольного образования</v>
      </c>
      <c r="B879" s="26">
        <v>805</v>
      </c>
      <c r="C879" s="65" t="s">
        <v>53</v>
      </c>
      <c r="D879" s="65" t="s">
        <v>73</v>
      </c>
      <c r="E879" s="26" t="s">
        <v>202</v>
      </c>
      <c r="F879" s="26"/>
      <c r="G879" s="66">
        <f t="shared" si="164"/>
        <v>73650</v>
      </c>
      <c r="H879" s="66">
        <f t="shared" si="164"/>
        <v>0</v>
      </c>
      <c r="I879" s="67">
        <f t="shared" si="161"/>
        <v>73650</v>
      </c>
      <c r="J879" s="66">
        <f t="shared" si="164"/>
        <v>0</v>
      </c>
      <c r="K879" s="67">
        <f t="shared" si="153"/>
        <v>73650</v>
      </c>
      <c r="L879" s="66">
        <f t="shared" si="164"/>
        <v>0</v>
      </c>
      <c r="M879" s="67">
        <f t="shared" si="154"/>
        <v>73650</v>
      </c>
      <c r="N879" s="66">
        <f t="shared" si="164"/>
        <v>0</v>
      </c>
      <c r="O879" s="67">
        <f t="shared" si="158"/>
        <v>73650</v>
      </c>
    </row>
    <row r="880" spans="1:15" ht="66" x14ac:dyDescent="0.2">
      <c r="A880" s="64" t="str">
        <f ca="1">IF(ISERROR(MATCH(E880,Код_КЦСР,0)),"",INDIRECT(ADDRESS(MATCH(E880,Код_КЦСР,0)+1,2,,,"КЦСР")))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– образовательные программы дошкольного образования, за счет средств областного бюджета</v>
      </c>
      <c r="B880" s="26">
        <v>805</v>
      </c>
      <c r="C880" s="65" t="s">
        <v>53</v>
      </c>
      <c r="D880" s="65" t="s">
        <v>73</v>
      </c>
      <c r="E880" s="26" t="s">
        <v>203</v>
      </c>
      <c r="F880" s="26"/>
      <c r="G880" s="66">
        <f t="shared" si="164"/>
        <v>73650</v>
      </c>
      <c r="H880" s="66">
        <f t="shared" si="164"/>
        <v>0</v>
      </c>
      <c r="I880" s="67">
        <f t="shared" si="161"/>
        <v>73650</v>
      </c>
      <c r="J880" s="66">
        <f t="shared" si="164"/>
        <v>0</v>
      </c>
      <c r="K880" s="67">
        <f t="shared" si="153"/>
        <v>73650</v>
      </c>
      <c r="L880" s="66">
        <f t="shared" si="164"/>
        <v>0</v>
      </c>
      <c r="M880" s="67">
        <f t="shared" si="154"/>
        <v>73650</v>
      </c>
      <c r="N880" s="66">
        <f t="shared" si="164"/>
        <v>0</v>
      </c>
      <c r="O880" s="67">
        <f t="shared" si="158"/>
        <v>73650</v>
      </c>
    </row>
    <row r="881" spans="1:15" x14ac:dyDescent="0.2">
      <c r="A881" s="64" t="str">
        <f ca="1">IF(ISERROR(MATCH(F881,Код_КВР,0)),"",INDIRECT(ADDRESS(MATCH(F881,Код_КВР,0)+1,2,,,"КВР")))</f>
        <v>Социальное обеспечение и иные выплаты населению</v>
      </c>
      <c r="B881" s="26">
        <v>805</v>
      </c>
      <c r="C881" s="65" t="s">
        <v>53</v>
      </c>
      <c r="D881" s="65" t="s">
        <v>73</v>
      </c>
      <c r="E881" s="26" t="s">
        <v>203</v>
      </c>
      <c r="F881" s="26">
        <v>300</v>
      </c>
      <c r="G881" s="66">
        <f t="shared" si="164"/>
        <v>73650</v>
      </c>
      <c r="H881" s="66">
        <f t="shared" si="164"/>
        <v>0</v>
      </c>
      <c r="I881" s="67">
        <f t="shared" si="161"/>
        <v>73650</v>
      </c>
      <c r="J881" s="66">
        <f t="shared" si="164"/>
        <v>0</v>
      </c>
      <c r="K881" s="67">
        <f t="shared" si="153"/>
        <v>73650</v>
      </c>
      <c r="L881" s="66">
        <f t="shared" si="164"/>
        <v>0</v>
      </c>
      <c r="M881" s="67">
        <f t="shared" si="154"/>
        <v>73650</v>
      </c>
      <c r="N881" s="66">
        <f t="shared" si="164"/>
        <v>0</v>
      </c>
      <c r="O881" s="67">
        <f t="shared" si="158"/>
        <v>73650</v>
      </c>
    </row>
    <row r="882" spans="1:15" ht="33" x14ac:dyDescent="0.2">
      <c r="A882" s="64" t="str">
        <f ca="1">IF(ISERROR(MATCH(F882,Код_КВР,0)),"",INDIRECT(ADDRESS(MATCH(F882,Код_КВР,0)+1,2,,,"КВР")))</f>
        <v>Социальные выплаты гражданам, кроме публичных нормативных социальных выплат</v>
      </c>
      <c r="B882" s="26">
        <v>805</v>
      </c>
      <c r="C882" s="65" t="s">
        <v>53</v>
      </c>
      <c r="D882" s="65" t="s">
        <v>73</v>
      </c>
      <c r="E882" s="26" t="s">
        <v>203</v>
      </c>
      <c r="F882" s="26">
        <v>320</v>
      </c>
      <c r="G882" s="66">
        <v>73650</v>
      </c>
      <c r="H882" s="66"/>
      <c r="I882" s="67">
        <f t="shared" si="161"/>
        <v>73650</v>
      </c>
      <c r="J882" s="66"/>
      <c r="K882" s="67">
        <f t="shared" si="153"/>
        <v>73650</v>
      </c>
      <c r="L882" s="66"/>
      <c r="M882" s="67">
        <f t="shared" si="154"/>
        <v>73650</v>
      </c>
      <c r="N882" s="66"/>
      <c r="O882" s="67">
        <f t="shared" si="158"/>
        <v>73650</v>
      </c>
    </row>
    <row r="883" spans="1:15" x14ac:dyDescent="0.2">
      <c r="A883" s="64" t="str">
        <f ca="1">IF(ISERROR(MATCH(E883,Код_КЦСР,0)),"",INDIRECT(ADDRESS(MATCH(E883,Код_КЦСР,0)+1,2,,,"КЦСР")))</f>
        <v>Общее образование</v>
      </c>
      <c r="B883" s="26">
        <v>805</v>
      </c>
      <c r="C883" s="65" t="s">
        <v>53</v>
      </c>
      <c r="D883" s="65" t="s">
        <v>73</v>
      </c>
      <c r="E883" s="26" t="s">
        <v>204</v>
      </c>
      <c r="F883" s="26"/>
      <c r="G883" s="66">
        <f t="shared" ref="G883:N886" si="165">G884</f>
        <v>16484</v>
      </c>
      <c r="H883" s="66">
        <f t="shared" si="165"/>
        <v>0</v>
      </c>
      <c r="I883" s="67">
        <f t="shared" si="161"/>
        <v>16484</v>
      </c>
      <c r="J883" s="66">
        <f t="shared" si="165"/>
        <v>0</v>
      </c>
      <c r="K883" s="67">
        <f t="shared" si="153"/>
        <v>16484</v>
      </c>
      <c r="L883" s="66">
        <f t="shared" si="165"/>
        <v>0</v>
      </c>
      <c r="M883" s="67">
        <f t="shared" si="154"/>
        <v>16484</v>
      </c>
      <c r="N883" s="66">
        <f t="shared" si="165"/>
        <v>0</v>
      </c>
      <c r="O883" s="67">
        <f t="shared" si="158"/>
        <v>16484</v>
      </c>
    </row>
    <row r="884" spans="1:15" ht="66" x14ac:dyDescent="0.2">
      <c r="A884" s="64" t="str">
        <f ca="1">IF(ISERROR(MATCH(E884,Код_КЦСР,0)),"",INDIRECT(ADDRESS(MATCH(E884,Код_КЦСР,0)+1,2,,,"КЦСР")))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884" s="26">
        <v>805</v>
      </c>
      <c r="C884" s="65" t="s">
        <v>53</v>
      </c>
      <c r="D884" s="65" t="s">
        <v>73</v>
      </c>
      <c r="E884" s="26" t="s">
        <v>209</v>
      </c>
      <c r="F884" s="26"/>
      <c r="G884" s="66">
        <f t="shared" si="165"/>
        <v>16484</v>
      </c>
      <c r="H884" s="66">
        <f t="shared" si="165"/>
        <v>0</v>
      </c>
      <c r="I884" s="67">
        <f t="shared" si="161"/>
        <v>16484</v>
      </c>
      <c r="J884" s="66">
        <f t="shared" si="165"/>
        <v>0</v>
      </c>
      <c r="K884" s="67">
        <f t="shared" si="153"/>
        <v>16484</v>
      </c>
      <c r="L884" s="66">
        <f t="shared" si="165"/>
        <v>0</v>
      </c>
      <c r="M884" s="67">
        <f t="shared" si="154"/>
        <v>16484</v>
      </c>
      <c r="N884" s="66">
        <f t="shared" si="165"/>
        <v>0</v>
      </c>
      <c r="O884" s="67">
        <f t="shared" si="158"/>
        <v>16484</v>
      </c>
    </row>
    <row r="885" spans="1:15" ht="66" x14ac:dyDescent="0.2">
      <c r="A885" s="64" t="str">
        <f ca="1">IF(ISERROR(MATCH(E885,Код_КЦСР,0)),"",INDIRECT(ADDRESS(MATCH(E885,Код_КЦСР,0)+1,2,,,"КЦСР")))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образования», за счет средств областного бюджета</v>
      </c>
      <c r="B885" s="26">
        <v>805</v>
      </c>
      <c r="C885" s="65" t="s">
        <v>53</v>
      </c>
      <c r="D885" s="65" t="s">
        <v>73</v>
      </c>
      <c r="E885" s="26" t="s">
        <v>210</v>
      </c>
      <c r="F885" s="26"/>
      <c r="G885" s="66">
        <f t="shared" si="165"/>
        <v>16484</v>
      </c>
      <c r="H885" s="66">
        <f t="shared" si="165"/>
        <v>0</v>
      </c>
      <c r="I885" s="67">
        <f t="shared" si="161"/>
        <v>16484</v>
      </c>
      <c r="J885" s="66">
        <f t="shared" si="165"/>
        <v>0</v>
      </c>
      <c r="K885" s="67">
        <f t="shared" si="153"/>
        <v>16484</v>
      </c>
      <c r="L885" s="66">
        <f t="shared" si="165"/>
        <v>0</v>
      </c>
      <c r="M885" s="67">
        <f t="shared" si="154"/>
        <v>16484</v>
      </c>
      <c r="N885" s="66">
        <f t="shared" si="165"/>
        <v>0</v>
      </c>
      <c r="O885" s="67">
        <f t="shared" si="158"/>
        <v>16484</v>
      </c>
    </row>
    <row r="886" spans="1:15" x14ac:dyDescent="0.2">
      <c r="A886" s="64" t="str">
        <f ca="1">IF(ISERROR(MATCH(F886,Код_КВР,0)),"",INDIRECT(ADDRESS(MATCH(F886,Код_КВР,0)+1,2,,,"КВР")))</f>
        <v>Социальное обеспечение и иные выплаты населению</v>
      </c>
      <c r="B886" s="26">
        <v>805</v>
      </c>
      <c r="C886" s="65" t="s">
        <v>53</v>
      </c>
      <c r="D886" s="65" t="s">
        <v>73</v>
      </c>
      <c r="E886" s="26" t="s">
        <v>210</v>
      </c>
      <c r="F886" s="26">
        <v>300</v>
      </c>
      <c r="G886" s="66">
        <f t="shared" si="165"/>
        <v>16484</v>
      </c>
      <c r="H886" s="66">
        <f t="shared" si="165"/>
        <v>0</v>
      </c>
      <c r="I886" s="67">
        <f t="shared" si="161"/>
        <v>16484</v>
      </c>
      <c r="J886" s="66">
        <f t="shared" si="165"/>
        <v>0</v>
      </c>
      <c r="K886" s="67">
        <f t="shared" si="153"/>
        <v>16484</v>
      </c>
      <c r="L886" s="66">
        <f t="shared" si="165"/>
        <v>0</v>
      </c>
      <c r="M886" s="67">
        <f t="shared" si="154"/>
        <v>16484</v>
      </c>
      <c r="N886" s="66">
        <f t="shared" si="165"/>
        <v>0</v>
      </c>
      <c r="O886" s="67">
        <f t="shared" si="158"/>
        <v>16484</v>
      </c>
    </row>
    <row r="887" spans="1:15" ht="33" x14ac:dyDescent="0.2">
      <c r="A887" s="64" t="str">
        <f ca="1">IF(ISERROR(MATCH(F887,Код_КВР,0)),"",INDIRECT(ADDRESS(MATCH(F887,Код_КВР,0)+1,2,,,"КВР")))</f>
        <v>Социальные выплаты гражданам, кроме публичных нормативных социальных выплат</v>
      </c>
      <c r="B887" s="26">
        <v>805</v>
      </c>
      <c r="C887" s="65" t="s">
        <v>53</v>
      </c>
      <c r="D887" s="65" t="s">
        <v>73</v>
      </c>
      <c r="E887" s="26" t="s">
        <v>210</v>
      </c>
      <c r="F887" s="26">
        <v>320</v>
      </c>
      <c r="G887" s="66">
        <f>16400+84</f>
        <v>16484</v>
      </c>
      <c r="H887" s="66"/>
      <c r="I887" s="67">
        <f t="shared" si="161"/>
        <v>16484</v>
      </c>
      <c r="J887" s="66"/>
      <c r="K887" s="67">
        <f t="shared" si="153"/>
        <v>16484</v>
      </c>
      <c r="L887" s="66"/>
      <c r="M887" s="67">
        <f t="shared" si="154"/>
        <v>16484</v>
      </c>
      <c r="N887" s="66"/>
      <c r="O887" s="67">
        <f t="shared" si="158"/>
        <v>16484</v>
      </c>
    </row>
    <row r="888" spans="1:15" x14ac:dyDescent="0.2">
      <c r="A888" s="64" t="str">
        <f ca="1">IF(ISERROR(MATCH(E888,Код_КЦСР,0)),"",INDIRECT(ADDRESS(MATCH(E888,Код_КЦСР,0)+1,2,,,"КЦСР")))</f>
        <v>Кадровое обеспечение муниципальной системы образования</v>
      </c>
      <c r="B888" s="26">
        <v>805</v>
      </c>
      <c r="C888" s="65" t="s">
        <v>53</v>
      </c>
      <c r="D888" s="65" t="s">
        <v>73</v>
      </c>
      <c r="E888" s="26" t="s">
        <v>216</v>
      </c>
      <c r="F888" s="26"/>
      <c r="G888" s="66">
        <f t="shared" si="163"/>
        <v>21441.8</v>
      </c>
      <c r="H888" s="66">
        <f t="shared" si="163"/>
        <v>0</v>
      </c>
      <c r="I888" s="67">
        <f t="shared" si="161"/>
        <v>21441.8</v>
      </c>
      <c r="J888" s="66">
        <f t="shared" si="163"/>
        <v>0</v>
      </c>
      <c r="K888" s="67">
        <f t="shared" si="153"/>
        <v>21441.8</v>
      </c>
      <c r="L888" s="66">
        <f t="shared" si="163"/>
        <v>0</v>
      </c>
      <c r="M888" s="67">
        <f t="shared" si="154"/>
        <v>21441.8</v>
      </c>
      <c r="N888" s="66">
        <f t="shared" si="163"/>
        <v>0</v>
      </c>
      <c r="O888" s="67">
        <f t="shared" si="158"/>
        <v>21441.8</v>
      </c>
    </row>
    <row r="889" spans="1:15" ht="33" x14ac:dyDescent="0.2">
      <c r="A889" s="64" t="str">
        <f ca="1">IF(ISERROR(MATCH(E889,Код_КЦСР,0)),"",INDIRECT(ADDRESS(MATCH(E889,Код_КЦСР,0)+1,2,,,"КЦСР")))</f>
        <v>Осуществление денежных выплат работникам муниципальных образовательных учреждений</v>
      </c>
      <c r="B889" s="26">
        <v>805</v>
      </c>
      <c r="C889" s="65" t="s">
        <v>53</v>
      </c>
      <c r="D889" s="65" t="s">
        <v>73</v>
      </c>
      <c r="E889" s="26" t="s">
        <v>221</v>
      </c>
      <c r="F889" s="26"/>
      <c r="G889" s="66">
        <f t="shared" si="163"/>
        <v>21441.8</v>
      </c>
      <c r="H889" s="66">
        <f t="shared" si="163"/>
        <v>0</v>
      </c>
      <c r="I889" s="67">
        <f t="shared" si="161"/>
        <v>21441.8</v>
      </c>
      <c r="J889" s="66">
        <f t="shared" si="163"/>
        <v>0</v>
      </c>
      <c r="K889" s="67">
        <f t="shared" si="153"/>
        <v>21441.8</v>
      </c>
      <c r="L889" s="66">
        <f t="shared" si="163"/>
        <v>0</v>
      </c>
      <c r="M889" s="67">
        <f t="shared" si="154"/>
        <v>21441.8</v>
      </c>
      <c r="N889" s="66">
        <f t="shared" si="163"/>
        <v>0</v>
      </c>
      <c r="O889" s="67">
        <f t="shared" si="158"/>
        <v>21441.8</v>
      </c>
    </row>
    <row r="890" spans="1:15" ht="36" customHeight="1" x14ac:dyDescent="0.2">
      <c r="A890" s="64" t="str">
        <f ca="1">IF(ISERROR(MATCH(E890,Код_КЦСР,0)),"",INDIRECT(ADDRESS(MATCH(E890,Код_КЦСР,0)+1,2,,,"КЦСР")))</f>
        <v>Осуществление денежных выплат работникам муниципальных образовательных учреждений, за счет средств городского бюджета</v>
      </c>
      <c r="B890" s="26">
        <v>805</v>
      </c>
      <c r="C890" s="65" t="s">
        <v>53</v>
      </c>
      <c r="D890" s="65" t="s">
        <v>73</v>
      </c>
      <c r="E890" s="26" t="s">
        <v>223</v>
      </c>
      <c r="F890" s="26"/>
      <c r="G890" s="66">
        <f t="shared" si="163"/>
        <v>21441.8</v>
      </c>
      <c r="H890" s="66">
        <f t="shared" si="163"/>
        <v>0</v>
      </c>
      <c r="I890" s="67">
        <f t="shared" si="161"/>
        <v>21441.8</v>
      </c>
      <c r="J890" s="66">
        <f t="shared" si="163"/>
        <v>0</v>
      </c>
      <c r="K890" s="67">
        <f t="shared" si="153"/>
        <v>21441.8</v>
      </c>
      <c r="L890" s="66">
        <f t="shared" si="163"/>
        <v>0</v>
      </c>
      <c r="M890" s="67">
        <f t="shared" si="154"/>
        <v>21441.8</v>
      </c>
      <c r="N890" s="66">
        <f t="shared" si="163"/>
        <v>0</v>
      </c>
      <c r="O890" s="67">
        <f t="shared" si="158"/>
        <v>21441.8</v>
      </c>
    </row>
    <row r="891" spans="1:15" ht="108.75" customHeight="1" x14ac:dyDescent="0.2">
      <c r="A891" s="64" t="str">
        <f ca="1">IF(ISERROR(MATCH(E891,Код_КЦСР,0)),"",INDIRECT(ADDRESS(MATCH(E891,Код_КЦСР,0)+1,2,,,"КЦСР")))</f>
        <v>Компенсация части родительской платы штатным работникам за присмотр и уход за детьми в муниципальных дошкольных образовательных учреждениях города и дошкольных группах муниципальных общеобразовательных учреждений города, образованных в результате реорганизации, в соответствии с решением Череповецкой городской Думы от 30.10.2012 № 203</v>
      </c>
      <c r="B891" s="26">
        <v>805</v>
      </c>
      <c r="C891" s="65" t="s">
        <v>53</v>
      </c>
      <c r="D891" s="65" t="s">
        <v>73</v>
      </c>
      <c r="E891" s="26" t="s">
        <v>226</v>
      </c>
      <c r="F891" s="26"/>
      <c r="G891" s="66">
        <f t="shared" si="163"/>
        <v>21441.8</v>
      </c>
      <c r="H891" s="66">
        <f t="shared" si="163"/>
        <v>0</v>
      </c>
      <c r="I891" s="67">
        <f t="shared" si="161"/>
        <v>21441.8</v>
      </c>
      <c r="J891" s="66">
        <f t="shared" si="163"/>
        <v>0</v>
      </c>
      <c r="K891" s="67">
        <f t="shared" si="153"/>
        <v>21441.8</v>
      </c>
      <c r="L891" s="66">
        <f t="shared" si="163"/>
        <v>0</v>
      </c>
      <c r="M891" s="67">
        <f t="shared" si="154"/>
        <v>21441.8</v>
      </c>
      <c r="N891" s="66">
        <f t="shared" si="163"/>
        <v>0</v>
      </c>
      <c r="O891" s="67">
        <f t="shared" si="158"/>
        <v>21441.8</v>
      </c>
    </row>
    <row r="892" spans="1:15" x14ac:dyDescent="0.2">
      <c r="A892" s="64" t="str">
        <f ca="1">IF(ISERROR(MATCH(F892,Код_КВР,0)),"",INDIRECT(ADDRESS(MATCH(F892,Код_КВР,0)+1,2,,,"КВР")))</f>
        <v>Социальное обеспечение и иные выплаты населению</v>
      </c>
      <c r="B892" s="26">
        <v>805</v>
      </c>
      <c r="C892" s="65" t="s">
        <v>53</v>
      </c>
      <c r="D892" s="65" t="s">
        <v>73</v>
      </c>
      <c r="E892" s="26" t="s">
        <v>226</v>
      </c>
      <c r="F892" s="26">
        <v>300</v>
      </c>
      <c r="G892" s="66">
        <f t="shared" si="163"/>
        <v>21441.8</v>
      </c>
      <c r="H892" s="66">
        <f t="shared" si="163"/>
        <v>0</v>
      </c>
      <c r="I892" s="67">
        <f t="shared" si="161"/>
        <v>21441.8</v>
      </c>
      <c r="J892" s="66">
        <f t="shared" si="163"/>
        <v>0</v>
      </c>
      <c r="K892" s="67">
        <f t="shared" si="153"/>
        <v>21441.8</v>
      </c>
      <c r="L892" s="66">
        <f t="shared" si="163"/>
        <v>0</v>
      </c>
      <c r="M892" s="67">
        <f t="shared" si="154"/>
        <v>21441.8</v>
      </c>
      <c r="N892" s="66">
        <f t="shared" si="163"/>
        <v>0</v>
      </c>
      <c r="O892" s="67">
        <f t="shared" si="158"/>
        <v>21441.8</v>
      </c>
    </row>
    <row r="893" spans="1:15" x14ac:dyDescent="0.2">
      <c r="A893" s="64" t="str">
        <f ca="1">IF(ISERROR(MATCH(F893,Код_КВР,0)),"",INDIRECT(ADDRESS(MATCH(F893,Код_КВР,0)+1,2,,,"КВР")))</f>
        <v>Публичные нормативные социальные выплаты гражданам</v>
      </c>
      <c r="B893" s="26">
        <v>805</v>
      </c>
      <c r="C893" s="65" t="s">
        <v>53</v>
      </c>
      <c r="D893" s="65" t="s">
        <v>73</v>
      </c>
      <c r="E893" s="26" t="s">
        <v>226</v>
      </c>
      <c r="F893" s="26">
        <v>310</v>
      </c>
      <c r="G893" s="66">
        <v>21441.8</v>
      </c>
      <c r="H893" s="66"/>
      <c r="I893" s="67">
        <f t="shared" si="161"/>
        <v>21441.8</v>
      </c>
      <c r="J893" s="66"/>
      <c r="K893" s="67">
        <f t="shared" si="153"/>
        <v>21441.8</v>
      </c>
      <c r="L893" s="66"/>
      <c r="M893" s="67">
        <f t="shared" si="154"/>
        <v>21441.8</v>
      </c>
      <c r="N893" s="66"/>
      <c r="O893" s="67">
        <f t="shared" si="158"/>
        <v>21441.8</v>
      </c>
    </row>
    <row r="894" spans="1:15" x14ac:dyDescent="0.2">
      <c r="A894" s="64" t="str">
        <f ca="1">IF(ISERROR(MATCH(B894,Код_ППП,0)),"",INDIRECT(ADDRESS(MATCH(B894,Код_ППП,0)+1,2,,,"ППП")))</f>
        <v>ФИНАНСОВОЕ УПРАВЛЕНИЕ МЭРИИ ГОРОДА</v>
      </c>
      <c r="B894" s="26">
        <v>807</v>
      </c>
      <c r="C894" s="65"/>
      <c r="D894" s="65"/>
      <c r="E894" s="26"/>
      <c r="F894" s="26"/>
      <c r="G894" s="66">
        <f>G895+G926+G938</f>
        <v>162623.4</v>
      </c>
      <c r="H894" s="66">
        <f>H895+H926+H938</f>
        <v>-18553.599999999999</v>
      </c>
      <c r="I894" s="67">
        <f t="shared" si="161"/>
        <v>144069.79999999999</v>
      </c>
      <c r="J894" s="66">
        <f>J895+J926+J938</f>
        <v>41142.9</v>
      </c>
      <c r="K894" s="67">
        <f t="shared" si="153"/>
        <v>185212.69999999998</v>
      </c>
      <c r="L894" s="66">
        <f>L895+L926+L938</f>
        <v>-14176.5</v>
      </c>
      <c r="M894" s="67">
        <f t="shared" si="154"/>
        <v>171036.19999999998</v>
      </c>
      <c r="N894" s="66">
        <f>N895+N926+N938</f>
        <v>-29257.4</v>
      </c>
      <c r="O894" s="67">
        <f t="shared" si="158"/>
        <v>141778.79999999999</v>
      </c>
    </row>
    <row r="895" spans="1:15" x14ac:dyDescent="0.2">
      <c r="A895" s="64" t="str">
        <f ca="1">IF(ISERROR(MATCH(C895,Код_Раздел,0)),"",INDIRECT(ADDRESS(MATCH(C895,Код_Раздел,0)+1,2,,,"Раздел")))</f>
        <v>Общегосударственные вопросы</v>
      </c>
      <c r="B895" s="26">
        <v>807</v>
      </c>
      <c r="C895" s="65" t="s">
        <v>70</v>
      </c>
      <c r="D895" s="65"/>
      <c r="E895" s="26"/>
      <c r="F895" s="26"/>
      <c r="G895" s="66">
        <f>G896+G920+G914</f>
        <v>74993.899999999994</v>
      </c>
      <c r="H895" s="66">
        <f>H896+H920+H914</f>
        <v>-18553.599999999999</v>
      </c>
      <c r="I895" s="67">
        <f t="shared" si="161"/>
        <v>56440.299999999996</v>
      </c>
      <c r="J895" s="66">
        <f>J896+J920+J914</f>
        <v>41142.9</v>
      </c>
      <c r="K895" s="67">
        <f t="shared" si="153"/>
        <v>97583.2</v>
      </c>
      <c r="L895" s="66">
        <f>L896+L920+L914</f>
        <v>-14176.5</v>
      </c>
      <c r="M895" s="67">
        <f t="shared" si="154"/>
        <v>83406.7</v>
      </c>
      <c r="N895" s="66">
        <f>N896+N920+N914</f>
        <v>-29257.4</v>
      </c>
      <c r="O895" s="67">
        <f t="shared" si="158"/>
        <v>54149.299999999996</v>
      </c>
    </row>
    <row r="896" spans="1:15" ht="33" x14ac:dyDescent="0.2">
      <c r="A896" s="74" t="s">
        <v>36</v>
      </c>
      <c r="B896" s="26">
        <v>807</v>
      </c>
      <c r="C896" s="65" t="s">
        <v>70</v>
      </c>
      <c r="D896" s="65" t="s">
        <v>74</v>
      </c>
      <c r="E896" s="26"/>
      <c r="F896" s="26"/>
      <c r="G896" s="66">
        <f>G897</f>
        <v>45893.899999999994</v>
      </c>
      <c r="H896" s="66">
        <f>H897</f>
        <v>0</v>
      </c>
      <c r="I896" s="67">
        <f t="shared" si="161"/>
        <v>45893.899999999994</v>
      </c>
      <c r="J896" s="66">
        <f>J897</f>
        <v>0</v>
      </c>
      <c r="K896" s="67">
        <f t="shared" si="153"/>
        <v>45893.899999999994</v>
      </c>
      <c r="L896" s="66">
        <f>L897</f>
        <v>0</v>
      </c>
      <c r="M896" s="67">
        <f t="shared" si="154"/>
        <v>45893.899999999994</v>
      </c>
      <c r="N896" s="66">
        <f>N897</f>
        <v>0</v>
      </c>
      <c r="O896" s="67">
        <f t="shared" si="158"/>
        <v>45893.899999999994</v>
      </c>
    </row>
    <row r="897" spans="1:15" x14ac:dyDescent="0.2">
      <c r="A897" s="64" t="str">
        <f ca="1">IF(ISERROR(MATCH(E897,Код_КЦСР,0)),"",INDIRECT(ADDRESS(MATCH(E897,Код_КЦСР,0)+1,2,,,"КЦСР")))</f>
        <v>Расходы, не включенные в муниципальные программы города Череповца</v>
      </c>
      <c r="B897" s="26">
        <v>807</v>
      </c>
      <c r="C897" s="65" t="s">
        <v>70</v>
      </c>
      <c r="D897" s="65" t="s">
        <v>74</v>
      </c>
      <c r="E897" s="26" t="s">
        <v>399</v>
      </c>
      <c r="F897" s="26"/>
      <c r="G897" s="88">
        <f>G898+G908</f>
        <v>45893.899999999994</v>
      </c>
      <c r="H897" s="88">
        <f>H898+H908</f>
        <v>0</v>
      </c>
      <c r="I897" s="67">
        <f t="shared" si="161"/>
        <v>45893.899999999994</v>
      </c>
      <c r="J897" s="88">
        <f>J898+J908</f>
        <v>0</v>
      </c>
      <c r="K897" s="67">
        <f t="shared" si="153"/>
        <v>45893.899999999994</v>
      </c>
      <c r="L897" s="88">
        <f>L898+L908</f>
        <v>0</v>
      </c>
      <c r="M897" s="67">
        <f t="shared" si="154"/>
        <v>45893.899999999994</v>
      </c>
      <c r="N897" s="88">
        <f>N898+N908</f>
        <v>0</v>
      </c>
      <c r="O897" s="67">
        <f t="shared" si="158"/>
        <v>45893.899999999994</v>
      </c>
    </row>
    <row r="898" spans="1:15" ht="33" x14ac:dyDescent="0.2">
      <c r="A898" s="64" t="str">
        <f ca="1">IF(ISERROR(MATCH(E898,Код_КЦСР,0)),"",INDIRECT(ADDRESS(MATCH(E898,Код_КЦСР,0)+1,2,,,"КЦСР")))</f>
        <v>Руководство и управление в сфере установленных функций органов местного самоуправления</v>
      </c>
      <c r="B898" s="26">
        <v>807</v>
      </c>
      <c r="C898" s="65" t="s">
        <v>70</v>
      </c>
      <c r="D898" s="65" t="s">
        <v>74</v>
      </c>
      <c r="E898" s="26" t="s">
        <v>400</v>
      </c>
      <c r="F898" s="26"/>
      <c r="G898" s="66">
        <f>G899</f>
        <v>28202.799999999999</v>
      </c>
      <c r="H898" s="66">
        <f>H899</f>
        <v>0</v>
      </c>
      <c r="I898" s="67">
        <f t="shared" si="161"/>
        <v>28202.799999999999</v>
      </c>
      <c r="J898" s="66">
        <f>J899</f>
        <v>0</v>
      </c>
      <c r="K898" s="67">
        <f t="shared" si="153"/>
        <v>28202.799999999999</v>
      </c>
      <c r="L898" s="66">
        <f>L899</f>
        <v>0</v>
      </c>
      <c r="M898" s="67">
        <f t="shared" si="154"/>
        <v>28202.799999999999</v>
      </c>
      <c r="N898" s="66">
        <f>N899</f>
        <v>0</v>
      </c>
      <c r="O898" s="67">
        <f t="shared" si="158"/>
        <v>28202.799999999999</v>
      </c>
    </row>
    <row r="899" spans="1:15" ht="33" x14ac:dyDescent="0.2">
      <c r="A899" s="64" t="str">
        <f ca="1">IF(ISERROR(MATCH(E899,Код_КЦСР,0)),"",INDIRECT(ADDRESS(MATCH(E899,Код_КЦСР,0)+1,2,,,"КЦСР")))</f>
        <v>Обеспечение деятельности исполнительных органов местного самоуправления</v>
      </c>
      <c r="B899" s="26">
        <v>807</v>
      </c>
      <c r="C899" s="65" t="s">
        <v>70</v>
      </c>
      <c r="D899" s="65" t="s">
        <v>74</v>
      </c>
      <c r="E899" s="26" t="s">
        <v>403</v>
      </c>
      <c r="F899" s="26"/>
      <c r="G899" s="66">
        <f>G900+G905</f>
        <v>28202.799999999999</v>
      </c>
      <c r="H899" s="66">
        <f>H900+H905</f>
        <v>0</v>
      </c>
      <c r="I899" s="67">
        <f t="shared" si="161"/>
        <v>28202.799999999999</v>
      </c>
      <c r="J899" s="66">
        <f>J900+J905</f>
        <v>0</v>
      </c>
      <c r="K899" s="67">
        <f t="shared" ref="K899:K962" si="166">I899+J899</f>
        <v>28202.799999999999</v>
      </c>
      <c r="L899" s="66">
        <f>L900+L905</f>
        <v>0</v>
      </c>
      <c r="M899" s="67">
        <f t="shared" ref="M899:M962" si="167">K899+L899</f>
        <v>28202.799999999999</v>
      </c>
      <c r="N899" s="66">
        <f>N900+N905</f>
        <v>0</v>
      </c>
      <c r="O899" s="67">
        <f t="shared" si="158"/>
        <v>28202.799999999999</v>
      </c>
    </row>
    <row r="900" spans="1:15" x14ac:dyDescent="0.2">
      <c r="A900" s="64" t="str">
        <f ca="1">IF(ISERROR(MATCH(E900,Код_КЦСР,0)),"",INDIRECT(ADDRESS(MATCH(E900,Код_КЦСР,0)+1,2,,,"КЦСР")))</f>
        <v>Расходы на обеспечение функций органов местного самоуправления</v>
      </c>
      <c r="B900" s="26">
        <v>807</v>
      </c>
      <c r="C900" s="65" t="s">
        <v>70</v>
      </c>
      <c r="D900" s="65" t="s">
        <v>74</v>
      </c>
      <c r="E900" s="26" t="s">
        <v>405</v>
      </c>
      <c r="F900" s="26"/>
      <c r="G900" s="66">
        <f>G901+G903</f>
        <v>27970.899999999998</v>
      </c>
      <c r="H900" s="66">
        <f>H901+H903</f>
        <v>0</v>
      </c>
      <c r="I900" s="67">
        <f t="shared" si="161"/>
        <v>27970.899999999998</v>
      </c>
      <c r="J900" s="66">
        <f>J901+J903</f>
        <v>0</v>
      </c>
      <c r="K900" s="67">
        <f t="shared" si="166"/>
        <v>27970.899999999998</v>
      </c>
      <c r="L900" s="66">
        <f>L901+L903</f>
        <v>0</v>
      </c>
      <c r="M900" s="67">
        <f t="shared" si="167"/>
        <v>27970.899999999998</v>
      </c>
      <c r="N900" s="66">
        <f>N901+N903</f>
        <v>0</v>
      </c>
      <c r="O900" s="67">
        <f t="shared" si="158"/>
        <v>27970.899999999998</v>
      </c>
    </row>
    <row r="901" spans="1:15" ht="49.5" x14ac:dyDescent="0.2">
      <c r="A901" s="64" t="str">
        <f ca="1">IF(ISERROR(MATCH(F901,Код_КВР,0)),"",INDIRECT(ADDRESS(MATCH(F901,Код_КВР,0)+1,2,,,"КВР")))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01" s="26">
        <v>807</v>
      </c>
      <c r="C901" s="65" t="s">
        <v>70</v>
      </c>
      <c r="D901" s="65" t="s">
        <v>74</v>
      </c>
      <c r="E901" s="26" t="s">
        <v>405</v>
      </c>
      <c r="F901" s="26">
        <v>100</v>
      </c>
      <c r="G901" s="66">
        <f>G902</f>
        <v>27941.8</v>
      </c>
      <c r="H901" s="66">
        <f>H902</f>
        <v>0</v>
      </c>
      <c r="I901" s="67">
        <f t="shared" si="161"/>
        <v>27941.8</v>
      </c>
      <c r="J901" s="66">
        <f>J902</f>
        <v>0</v>
      </c>
      <c r="K901" s="67">
        <f t="shared" si="166"/>
        <v>27941.8</v>
      </c>
      <c r="L901" s="66">
        <f>L902</f>
        <v>0</v>
      </c>
      <c r="M901" s="67">
        <f t="shared" si="167"/>
        <v>27941.8</v>
      </c>
      <c r="N901" s="66">
        <f>N902</f>
        <v>0</v>
      </c>
      <c r="O901" s="67">
        <f t="shared" si="158"/>
        <v>27941.8</v>
      </c>
    </row>
    <row r="902" spans="1:15" ht="31.5" customHeight="1" x14ac:dyDescent="0.2">
      <c r="A902" s="64" t="str">
        <f ca="1">IF(ISERROR(MATCH(F902,Код_КВР,0)),"",INDIRECT(ADDRESS(MATCH(F902,Код_КВР,0)+1,2,,,"КВР")))</f>
        <v>Расходы на выплаты персоналу государственных (муниципальных) органов</v>
      </c>
      <c r="B902" s="26">
        <v>807</v>
      </c>
      <c r="C902" s="65" t="s">
        <v>70</v>
      </c>
      <c r="D902" s="65" t="s">
        <v>74</v>
      </c>
      <c r="E902" s="26" t="s">
        <v>405</v>
      </c>
      <c r="F902" s="26">
        <v>120</v>
      </c>
      <c r="G902" s="66">
        <f>21411.1+64.5+6466.2</f>
        <v>27941.8</v>
      </c>
      <c r="H902" s="66"/>
      <c r="I902" s="67">
        <f t="shared" si="161"/>
        <v>27941.8</v>
      </c>
      <c r="J902" s="66"/>
      <c r="K902" s="67">
        <f t="shared" si="166"/>
        <v>27941.8</v>
      </c>
      <c r="L902" s="66"/>
      <c r="M902" s="67">
        <f t="shared" si="167"/>
        <v>27941.8</v>
      </c>
      <c r="N902" s="66"/>
      <c r="O902" s="67">
        <f t="shared" si="158"/>
        <v>27941.8</v>
      </c>
    </row>
    <row r="903" spans="1:15" ht="33" x14ac:dyDescent="0.2">
      <c r="A903" s="64" t="str">
        <f ca="1">IF(ISERROR(MATCH(F903,Код_КВР,0)),"",INDIRECT(ADDRESS(MATCH(F903,Код_КВР,0)+1,2,,,"КВР")))</f>
        <v>Закупка товаров, работ и услуг для обеспечения государственных (муниципальных) нужд</v>
      </c>
      <c r="B903" s="26">
        <v>807</v>
      </c>
      <c r="C903" s="65" t="s">
        <v>70</v>
      </c>
      <c r="D903" s="65" t="s">
        <v>74</v>
      </c>
      <c r="E903" s="26" t="s">
        <v>405</v>
      </c>
      <c r="F903" s="26">
        <v>200</v>
      </c>
      <c r="G903" s="66">
        <f>G904</f>
        <v>29.1</v>
      </c>
      <c r="H903" s="66">
        <f>H904</f>
        <v>0</v>
      </c>
      <c r="I903" s="67">
        <f t="shared" si="161"/>
        <v>29.1</v>
      </c>
      <c r="J903" s="66">
        <f>J904</f>
        <v>0</v>
      </c>
      <c r="K903" s="67">
        <f t="shared" si="166"/>
        <v>29.1</v>
      </c>
      <c r="L903" s="66">
        <f>L904</f>
        <v>0</v>
      </c>
      <c r="M903" s="67">
        <f t="shared" si="167"/>
        <v>29.1</v>
      </c>
      <c r="N903" s="66">
        <f>N904</f>
        <v>0</v>
      </c>
      <c r="O903" s="67">
        <f t="shared" si="158"/>
        <v>29.1</v>
      </c>
    </row>
    <row r="904" spans="1:15" ht="33" x14ac:dyDescent="0.2">
      <c r="A904" s="64" t="str">
        <f ca="1">IF(ISERROR(MATCH(F904,Код_КВР,0)),"",INDIRECT(ADDRESS(MATCH(F904,Код_КВР,0)+1,2,,,"КВР")))</f>
        <v>Иные закупки товаров, работ и услуг для обеспечения государственных (муниципальных) нужд</v>
      </c>
      <c r="B904" s="26">
        <v>807</v>
      </c>
      <c r="C904" s="65" t="s">
        <v>70</v>
      </c>
      <c r="D904" s="65" t="s">
        <v>74</v>
      </c>
      <c r="E904" s="26" t="s">
        <v>405</v>
      </c>
      <c r="F904" s="26">
        <v>240</v>
      </c>
      <c r="G904" s="66">
        <v>29.1</v>
      </c>
      <c r="H904" s="66"/>
      <c r="I904" s="67">
        <f t="shared" si="161"/>
        <v>29.1</v>
      </c>
      <c r="J904" s="66"/>
      <c r="K904" s="67">
        <f t="shared" si="166"/>
        <v>29.1</v>
      </c>
      <c r="L904" s="66"/>
      <c r="M904" s="67">
        <f t="shared" si="167"/>
        <v>29.1</v>
      </c>
      <c r="N904" s="66"/>
      <c r="O904" s="67">
        <f t="shared" si="158"/>
        <v>29.1</v>
      </c>
    </row>
    <row r="905" spans="1:15" ht="92.25" customHeight="1" x14ac:dyDescent="0.2">
      <c r="A905" s="64" t="str">
        <f ca="1">IF(ISERROR(MATCH(E905,Код_КЦСР,0)),"",INDIRECT(ADDRESS(MATCH(E905,Код_КЦСР,0)+1,2,,,"КЦСР")))</f>
        <v>Осуществление отдельных государственных полномочий в соответствии с законом области от 5 октября 2006 года 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(тарифов)», за счет средств областного бюджета</v>
      </c>
      <c r="B905" s="26">
        <v>807</v>
      </c>
      <c r="C905" s="65" t="s">
        <v>70</v>
      </c>
      <c r="D905" s="65" t="s">
        <v>74</v>
      </c>
      <c r="E905" s="26" t="s">
        <v>427</v>
      </c>
      <c r="F905" s="26"/>
      <c r="G905" s="66">
        <f t="shared" ref="G905:N906" si="168">G906</f>
        <v>231.9</v>
      </c>
      <c r="H905" s="66">
        <f t="shared" si="168"/>
        <v>0</v>
      </c>
      <c r="I905" s="67">
        <f t="shared" si="161"/>
        <v>231.9</v>
      </c>
      <c r="J905" s="66">
        <f t="shared" si="168"/>
        <v>0</v>
      </c>
      <c r="K905" s="67">
        <f t="shared" si="166"/>
        <v>231.9</v>
      </c>
      <c r="L905" s="66">
        <f t="shared" si="168"/>
        <v>0</v>
      </c>
      <c r="M905" s="67">
        <f t="shared" si="167"/>
        <v>231.9</v>
      </c>
      <c r="N905" s="66">
        <f t="shared" si="168"/>
        <v>0</v>
      </c>
      <c r="O905" s="67">
        <f t="shared" si="158"/>
        <v>231.9</v>
      </c>
    </row>
    <row r="906" spans="1:15" ht="49.5" x14ac:dyDescent="0.2">
      <c r="A906" s="64" t="str">
        <f ca="1">IF(ISERROR(MATCH(F906,Код_КВР,0)),"",INDIRECT(ADDRESS(MATCH(F906,Код_КВР,0)+1,2,,,"КВР")))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06" s="26">
        <v>807</v>
      </c>
      <c r="C906" s="65" t="s">
        <v>70</v>
      </c>
      <c r="D906" s="65" t="s">
        <v>74</v>
      </c>
      <c r="E906" s="26" t="s">
        <v>427</v>
      </c>
      <c r="F906" s="26">
        <v>100</v>
      </c>
      <c r="G906" s="66">
        <f t="shared" si="168"/>
        <v>231.9</v>
      </c>
      <c r="H906" s="66">
        <f t="shared" si="168"/>
        <v>0</v>
      </c>
      <c r="I906" s="67">
        <f t="shared" si="161"/>
        <v>231.9</v>
      </c>
      <c r="J906" s="66">
        <f t="shared" si="168"/>
        <v>0</v>
      </c>
      <c r="K906" s="67">
        <f t="shared" si="166"/>
        <v>231.9</v>
      </c>
      <c r="L906" s="66">
        <f t="shared" si="168"/>
        <v>0</v>
      </c>
      <c r="M906" s="67">
        <f t="shared" si="167"/>
        <v>231.9</v>
      </c>
      <c r="N906" s="66">
        <f t="shared" si="168"/>
        <v>0</v>
      </c>
      <c r="O906" s="67">
        <f t="shared" si="158"/>
        <v>231.9</v>
      </c>
    </row>
    <row r="907" spans="1:15" x14ac:dyDescent="0.2">
      <c r="A907" s="64" t="str">
        <f ca="1">IF(ISERROR(MATCH(F907,Код_КВР,0)),"",INDIRECT(ADDRESS(MATCH(F907,Код_КВР,0)+1,2,,,"КВР")))</f>
        <v>Расходы на выплаты персоналу государственных (муниципальных) органов</v>
      </c>
      <c r="B907" s="26">
        <v>807</v>
      </c>
      <c r="C907" s="65" t="s">
        <v>70</v>
      </c>
      <c r="D907" s="65" t="s">
        <v>74</v>
      </c>
      <c r="E907" s="26" t="s">
        <v>427</v>
      </c>
      <c r="F907" s="26">
        <v>120</v>
      </c>
      <c r="G907" s="66">
        <v>231.9</v>
      </c>
      <c r="H907" s="66"/>
      <c r="I907" s="67">
        <f t="shared" si="161"/>
        <v>231.9</v>
      </c>
      <c r="J907" s="66"/>
      <c r="K907" s="67">
        <f t="shared" si="166"/>
        <v>231.9</v>
      </c>
      <c r="L907" s="66"/>
      <c r="M907" s="67">
        <f t="shared" si="167"/>
        <v>231.9</v>
      </c>
      <c r="N907" s="66"/>
      <c r="O907" s="67">
        <f t="shared" si="158"/>
        <v>231.9</v>
      </c>
    </row>
    <row r="908" spans="1:15" ht="22.5" customHeight="1" x14ac:dyDescent="0.2">
      <c r="A908" s="64" t="str">
        <f ca="1">IF(ISERROR(MATCH(E908,Код_КЦСР,0)),"",INDIRECT(ADDRESS(MATCH(E908,Код_КЦСР,0)+1,2,,,"КЦСР")))</f>
        <v>Иные непрограммные расходы</v>
      </c>
      <c r="B908" s="26">
        <v>807</v>
      </c>
      <c r="C908" s="65" t="s">
        <v>70</v>
      </c>
      <c r="D908" s="65" t="s">
        <v>74</v>
      </c>
      <c r="E908" s="26" t="s">
        <v>421</v>
      </c>
      <c r="F908" s="26"/>
      <c r="G908" s="66">
        <f>G909</f>
        <v>17691.099999999999</v>
      </c>
      <c r="H908" s="66">
        <f>H909</f>
        <v>0</v>
      </c>
      <c r="I908" s="67">
        <f t="shared" si="161"/>
        <v>17691.099999999999</v>
      </c>
      <c r="J908" s="66">
        <f>J909</f>
        <v>0</v>
      </c>
      <c r="K908" s="67">
        <f t="shared" si="166"/>
        <v>17691.099999999999</v>
      </c>
      <c r="L908" s="66">
        <f>L909</f>
        <v>0</v>
      </c>
      <c r="M908" s="67">
        <f t="shared" si="167"/>
        <v>17691.099999999999</v>
      </c>
      <c r="N908" s="66">
        <f>N909</f>
        <v>0</v>
      </c>
      <c r="O908" s="67">
        <f t="shared" si="158"/>
        <v>17691.099999999999</v>
      </c>
    </row>
    <row r="909" spans="1:15" ht="37.5" customHeight="1" x14ac:dyDescent="0.2">
      <c r="A909" s="64" t="str">
        <f ca="1">IF(ISERROR(MATCH(E909,Код_КЦСР,0)),"",INDIRECT(ADDRESS(MATCH(E909,Код_КЦСР,0)+1,2,,,"КЦСР")))</f>
        <v>Обеспечение деятельности муниципального казенного учреждения «Финансово-бухгалтерский центр»</v>
      </c>
      <c r="B909" s="26">
        <v>807</v>
      </c>
      <c r="C909" s="65" t="s">
        <v>70</v>
      </c>
      <c r="D909" s="65" t="s">
        <v>74</v>
      </c>
      <c r="E909" s="26" t="s">
        <v>424</v>
      </c>
      <c r="F909" s="26"/>
      <c r="G909" s="66">
        <f>G910+G912</f>
        <v>17691.099999999999</v>
      </c>
      <c r="H909" s="66">
        <f>H910+H912</f>
        <v>0</v>
      </c>
      <c r="I909" s="67">
        <f t="shared" si="161"/>
        <v>17691.099999999999</v>
      </c>
      <c r="J909" s="66">
        <f>J910+J912</f>
        <v>0</v>
      </c>
      <c r="K909" s="67">
        <f t="shared" si="166"/>
        <v>17691.099999999999</v>
      </c>
      <c r="L909" s="66">
        <f>L910+L912</f>
        <v>0</v>
      </c>
      <c r="M909" s="67">
        <f t="shared" si="167"/>
        <v>17691.099999999999</v>
      </c>
      <c r="N909" s="66">
        <f>N910+N912</f>
        <v>0</v>
      </c>
      <c r="O909" s="67">
        <f t="shared" si="158"/>
        <v>17691.099999999999</v>
      </c>
    </row>
    <row r="910" spans="1:15" ht="49.5" x14ac:dyDescent="0.2">
      <c r="A910" s="64" t="str">
        <f ca="1">IF(ISERROR(MATCH(F910,Код_КВР,0)),"",INDIRECT(ADDRESS(MATCH(F910,Код_КВР,0)+1,2,,,"КВР")))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10" s="26">
        <v>807</v>
      </c>
      <c r="C910" s="65" t="s">
        <v>70</v>
      </c>
      <c r="D910" s="65" t="s">
        <v>74</v>
      </c>
      <c r="E910" s="26" t="s">
        <v>424</v>
      </c>
      <c r="F910" s="26">
        <v>100</v>
      </c>
      <c r="G910" s="66">
        <f>G911</f>
        <v>17595.699999999997</v>
      </c>
      <c r="H910" s="66">
        <f>H911</f>
        <v>0</v>
      </c>
      <c r="I910" s="67">
        <f t="shared" si="161"/>
        <v>17595.699999999997</v>
      </c>
      <c r="J910" s="66">
        <f>J911</f>
        <v>0</v>
      </c>
      <c r="K910" s="67">
        <f t="shared" si="166"/>
        <v>17595.699999999997</v>
      </c>
      <c r="L910" s="66">
        <f>L911</f>
        <v>0</v>
      </c>
      <c r="M910" s="67">
        <f t="shared" si="167"/>
        <v>17595.699999999997</v>
      </c>
      <c r="N910" s="66">
        <f>N911</f>
        <v>0</v>
      </c>
      <c r="O910" s="67">
        <f t="shared" si="158"/>
        <v>17595.699999999997</v>
      </c>
    </row>
    <row r="911" spans="1:15" x14ac:dyDescent="0.2">
      <c r="A911" s="64" t="str">
        <f ca="1">IF(ISERROR(MATCH(F911,Код_КВР,0)),"",INDIRECT(ADDRESS(MATCH(F911,Код_КВР,0)+1,2,,,"КВР")))</f>
        <v>Расходы на выплаты персоналу казенных учреждений</v>
      </c>
      <c r="B911" s="26">
        <v>807</v>
      </c>
      <c r="C911" s="65" t="s">
        <v>70</v>
      </c>
      <c r="D911" s="65" t="s">
        <v>74</v>
      </c>
      <c r="E911" s="26" t="s">
        <v>424</v>
      </c>
      <c r="F911" s="26">
        <v>110</v>
      </c>
      <c r="G911" s="66">
        <f>13091.3+0.8+3953.6+422.4+127.6</f>
        <v>17595.699999999997</v>
      </c>
      <c r="H911" s="66"/>
      <c r="I911" s="67">
        <f t="shared" si="161"/>
        <v>17595.699999999997</v>
      </c>
      <c r="J911" s="66"/>
      <c r="K911" s="67">
        <f t="shared" si="166"/>
        <v>17595.699999999997</v>
      </c>
      <c r="L911" s="66"/>
      <c r="M911" s="67">
        <f t="shared" si="167"/>
        <v>17595.699999999997</v>
      </c>
      <c r="N911" s="66"/>
      <c r="O911" s="67">
        <f t="shared" si="158"/>
        <v>17595.699999999997</v>
      </c>
    </row>
    <row r="912" spans="1:15" ht="33" x14ac:dyDescent="0.2">
      <c r="A912" s="64" t="str">
        <f ca="1">IF(ISERROR(MATCH(F912,Код_КВР,0)),"",INDIRECT(ADDRESS(MATCH(F912,Код_КВР,0)+1,2,,,"КВР")))</f>
        <v>Закупка товаров, работ и услуг для обеспечения государственных (муниципальных) нужд</v>
      </c>
      <c r="B912" s="26">
        <v>807</v>
      </c>
      <c r="C912" s="65" t="s">
        <v>70</v>
      </c>
      <c r="D912" s="65" t="s">
        <v>74</v>
      </c>
      <c r="E912" s="26" t="s">
        <v>424</v>
      </c>
      <c r="F912" s="26">
        <v>200</v>
      </c>
      <c r="G912" s="66">
        <f>G913</f>
        <v>95.4</v>
      </c>
      <c r="H912" s="66">
        <f>H913</f>
        <v>0</v>
      </c>
      <c r="I912" s="67">
        <f t="shared" si="161"/>
        <v>95.4</v>
      </c>
      <c r="J912" s="66">
        <f>J913</f>
        <v>0</v>
      </c>
      <c r="K912" s="67">
        <f t="shared" si="166"/>
        <v>95.4</v>
      </c>
      <c r="L912" s="66">
        <f>L913</f>
        <v>0</v>
      </c>
      <c r="M912" s="67">
        <f t="shared" si="167"/>
        <v>95.4</v>
      </c>
      <c r="N912" s="66">
        <f>N913</f>
        <v>0</v>
      </c>
      <c r="O912" s="67">
        <f t="shared" si="158"/>
        <v>95.4</v>
      </c>
    </row>
    <row r="913" spans="1:15" ht="33" x14ac:dyDescent="0.2">
      <c r="A913" s="64" t="str">
        <f ca="1">IF(ISERROR(MATCH(F913,Код_КВР,0)),"",INDIRECT(ADDRESS(MATCH(F913,Код_КВР,0)+1,2,,,"КВР")))</f>
        <v>Иные закупки товаров, работ и услуг для обеспечения государственных (муниципальных) нужд</v>
      </c>
      <c r="B913" s="26">
        <v>807</v>
      </c>
      <c r="C913" s="65" t="s">
        <v>70</v>
      </c>
      <c r="D913" s="65" t="s">
        <v>74</v>
      </c>
      <c r="E913" s="26" t="s">
        <v>424</v>
      </c>
      <c r="F913" s="26">
        <v>240</v>
      </c>
      <c r="G913" s="66">
        <v>95.4</v>
      </c>
      <c r="H913" s="66"/>
      <c r="I913" s="67">
        <f t="shared" si="161"/>
        <v>95.4</v>
      </c>
      <c r="J913" s="66"/>
      <c r="K913" s="67">
        <f t="shared" si="166"/>
        <v>95.4</v>
      </c>
      <c r="L913" s="66"/>
      <c r="M913" s="67">
        <f t="shared" si="167"/>
        <v>95.4</v>
      </c>
      <c r="N913" s="66"/>
      <c r="O913" s="67">
        <f t="shared" si="158"/>
        <v>95.4</v>
      </c>
    </row>
    <row r="914" spans="1:15" x14ac:dyDescent="0.2">
      <c r="A914" s="74" t="s">
        <v>63</v>
      </c>
      <c r="B914" s="26">
        <v>807</v>
      </c>
      <c r="C914" s="65" t="s">
        <v>70</v>
      </c>
      <c r="D914" s="65" t="s">
        <v>81</v>
      </c>
      <c r="E914" s="26"/>
      <c r="F914" s="26"/>
      <c r="G914" s="66">
        <f>G916</f>
        <v>29000</v>
      </c>
      <c r="H914" s="66">
        <f>H916</f>
        <v>-18553.599999999999</v>
      </c>
      <c r="I914" s="67">
        <f t="shared" si="161"/>
        <v>10446.400000000001</v>
      </c>
      <c r="J914" s="66">
        <f>J916</f>
        <v>41142.9</v>
      </c>
      <c r="K914" s="67">
        <f t="shared" si="166"/>
        <v>51589.3</v>
      </c>
      <c r="L914" s="66">
        <f>L916</f>
        <v>-14176.5</v>
      </c>
      <c r="M914" s="67">
        <f t="shared" si="167"/>
        <v>37412.800000000003</v>
      </c>
      <c r="N914" s="66">
        <f>N916</f>
        <v>-29257.4</v>
      </c>
      <c r="O914" s="67">
        <f t="shared" si="158"/>
        <v>8155.4000000000015</v>
      </c>
    </row>
    <row r="915" spans="1:15" x14ac:dyDescent="0.2">
      <c r="A915" s="64" t="str">
        <f ca="1">IF(ISERROR(MATCH(E915,Код_КЦСР,0)),"",INDIRECT(ADDRESS(MATCH(E915,Код_КЦСР,0)+1,2,,,"КЦСР")))</f>
        <v>Расходы, не включенные в муниципальные программы города Череповца</v>
      </c>
      <c r="B915" s="26">
        <v>807</v>
      </c>
      <c r="C915" s="65" t="s">
        <v>70</v>
      </c>
      <c r="D915" s="65" t="s">
        <v>81</v>
      </c>
      <c r="E915" s="26" t="s">
        <v>399</v>
      </c>
      <c r="F915" s="26"/>
      <c r="G915" s="66">
        <f t="shared" ref="G915:N918" si="169">G916</f>
        <v>29000</v>
      </c>
      <c r="H915" s="66">
        <f t="shared" si="169"/>
        <v>-18553.599999999999</v>
      </c>
      <c r="I915" s="67">
        <f t="shared" si="161"/>
        <v>10446.400000000001</v>
      </c>
      <c r="J915" s="66">
        <f t="shared" si="169"/>
        <v>41142.9</v>
      </c>
      <c r="K915" s="67">
        <f t="shared" si="166"/>
        <v>51589.3</v>
      </c>
      <c r="L915" s="66">
        <f t="shared" si="169"/>
        <v>-14176.5</v>
      </c>
      <c r="M915" s="67">
        <f t="shared" si="167"/>
        <v>37412.800000000003</v>
      </c>
      <c r="N915" s="66">
        <f t="shared" si="169"/>
        <v>-29257.4</v>
      </c>
      <c r="O915" s="67">
        <f t="shared" ref="O915:O978" si="170">M915+N915</f>
        <v>8155.4000000000015</v>
      </c>
    </row>
    <row r="916" spans="1:15" x14ac:dyDescent="0.2">
      <c r="A916" s="64" t="str">
        <f ca="1">IF(ISERROR(MATCH(E916,Код_КЦСР,0)),"",INDIRECT(ADDRESS(MATCH(E916,Код_КЦСР,0)+1,2,,,"КЦСР")))</f>
        <v>Резервные фонды</v>
      </c>
      <c r="B916" s="26">
        <v>807</v>
      </c>
      <c r="C916" s="65" t="s">
        <v>70</v>
      </c>
      <c r="D916" s="65" t="s">
        <v>81</v>
      </c>
      <c r="E916" s="26" t="s">
        <v>418</v>
      </c>
      <c r="F916" s="26"/>
      <c r="G916" s="66">
        <f t="shared" si="169"/>
        <v>29000</v>
      </c>
      <c r="H916" s="66">
        <f t="shared" si="169"/>
        <v>-18553.599999999999</v>
      </c>
      <c r="I916" s="67">
        <f t="shared" si="161"/>
        <v>10446.400000000001</v>
      </c>
      <c r="J916" s="66">
        <f t="shared" si="169"/>
        <v>41142.9</v>
      </c>
      <c r="K916" s="67">
        <f t="shared" si="166"/>
        <v>51589.3</v>
      </c>
      <c r="L916" s="66">
        <f t="shared" si="169"/>
        <v>-14176.5</v>
      </c>
      <c r="M916" s="67">
        <f t="shared" si="167"/>
        <v>37412.800000000003</v>
      </c>
      <c r="N916" s="66">
        <f t="shared" si="169"/>
        <v>-29257.4</v>
      </c>
      <c r="O916" s="67">
        <f t="shared" si="170"/>
        <v>8155.4000000000015</v>
      </c>
    </row>
    <row r="917" spans="1:15" x14ac:dyDescent="0.2">
      <c r="A917" s="64" t="str">
        <f ca="1">IF(ISERROR(MATCH(E917,Код_КЦСР,0)),"",INDIRECT(ADDRESS(MATCH(E917,Код_КЦСР,0)+1,2,,,"КЦСР")))</f>
        <v>Резервный фонд мэрии города</v>
      </c>
      <c r="B917" s="26">
        <v>807</v>
      </c>
      <c r="C917" s="65" t="s">
        <v>70</v>
      </c>
      <c r="D917" s="65" t="s">
        <v>81</v>
      </c>
      <c r="E917" s="26" t="s">
        <v>419</v>
      </c>
      <c r="F917" s="26"/>
      <c r="G917" s="66">
        <f>G918</f>
        <v>29000</v>
      </c>
      <c r="H917" s="66">
        <f>H918</f>
        <v>-18553.599999999999</v>
      </c>
      <c r="I917" s="67">
        <f t="shared" si="161"/>
        <v>10446.400000000001</v>
      </c>
      <c r="J917" s="66">
        <f>J918</f>
        <v>41142.9</v>
      </c>
      <c r="K917" s="67">
        <f t="shared" si="166"/>
        <v>51589.3</v>
      </c>
      <c r="L917" s="66">
        <f>L918</f>
        <v>-14176.5</v>
      </c>
      <c r="M917" s="67">
        <f t="shared" si="167"/>
        <v>37412.800000000003</v>
      </c>
      <c r="N917" s="66">
        <f>N918</f>
        <v>-29257.4</v>
      </c>
      <c r="O917" s="67">
        <f t="shared" si="170"/>
        <v>8155.4000000000015</v>
      </c>
    </row>
    <row r="918" spans="1:15" x14ac:dyDescent="0.2">
      <c r="A918" s="64" t="str">
        <f ca="1">IF(ISERROR(MATCH(F918,Код_КВР,0)),"",INDIRECT(ADDRESS(MATCH(F918,Код_КВР,0)+1,2,,,"КВР")))</f>
        <v>Иные бюджетные ассигнования</v>
      </c>
      <c r="B918" s="26">
        <v>807</v>
      </c>
      <c r="C918" s="65" t="s">
        <v>70</v>
      </c>
      <c r="D918" s="65" t="s">
        <v>81</v>
      </c>
      <c r="E918" s="26" t="s">
        <v>419</v>
      </c>
      <c r="F918" s="26">
        <v>800</v>
      </c>
      <c r="G918" s="66">
        <f t="shared" si="169"/>
        <v>29000</v>
      </c>
      <c r="H918" s="66">
        <f t="shared" si="169"/>
        <v>-18553.599999999999</v>
      </c>
      <c r="I918" s="67">
        <f t="shared" si="161"/>
        <v>10446.400000000001</v>
      </c>
      <c r="J918" s="66">
        <f t="shared" si="169"/>
        <v>41142.9</v>
      </c>
      <c r="K918" s="67">
        <f t="shared" si="166"/>
        <v>51589.3</v>
      </c>
      <c r="L918" s="66">
        <f t="shared" si="169"/>
        <v>-14176.5</v>
      </c>
      <c r="M918" s="67">
        <f t="shared" si="167"/>
        <v>37412.800000000003</v>
      </c>
      <c r="N918" s="66">
        <f t="shared" si="169"/>
        <v>-29257.4</v>
      </c>
      <c r="O918" s="67">
        <f t="shared" si="170"/>
        <v>8155.4000000000015</v>
      </c>
    </row>
    <row r="919" spans="1:15" x14ac:dyDescent="0.2">
      <c r="A919" s="64" t="str">
        <f ca="1">IF(ISERROR(MATCH(F919,Код_КВР,0)),"",INDIRECT(ADDRESS(MATCH(F919,Код_КВР,0)+1,2,,,"КВР")))</f>
        <v>Резервные средства</v>
      </c>
      <c r="B919" s="26">
        <v>807</v>
      </c>
      <c r="C919" s="65" t="s">
        <v>70</v>
      </c>
      <c r="D919" s="65" t="s">
        <v>81</v>
      </c>
      <c r="E919" s="26" t="s">
        <v>419</v>
      </c>
      <c r="F919" s="26">
        <v>870</v>
      </c>
      <c r="G919" s="66">
        <v>29000</v>
      </c>
      <c r="H919" s="66">
        <v>-18553.599999999999</v>
      </c>
      <c r="I919" s="67">
        <f t="shared" si="161"/>
        <v>10446.400000000001</v>
      </c>
      <c r="J919" s="66">
        <v>41142.9</v>
      </c>
      <c r="K919" s="67">
        <f t="shared" si="166"/>
        <v>51589.3</v>
      </c>
      <c r="L919" s="66">
        <v>-14176.5</v>
      </c>
      <c r="M919" s="67">
        <f t="shared" si="167"/>
        <v>37412.800000000003</v>
      </c>
      <c r="N919" s="66">
        <v>-29257.4</v>
      </c>
      <c r="O919" s="67">
        <f t="shared" si="170"/>
        <v>8155.4000000000015</v>
      </c>
    </row>
    <row r="920" spans="1:15" x14ac:dyDescent="0.2">
      <c r="A920" s="74" t="s">
        <v>91</v>
      </c>
      <c r="B920" s="26">
        <v>807</v>
      </c>
      <c r="C920" s="65" t="s">
        <v>70</v>
      </c>
      <c r="D920" s="65" t="s">
        <v>55</v>
      </c>
      <c r="E920" s="26"/>
      <c r="F920" s="26"/>
      <c r="G920" s="66">
        <f t="shared" ref="G920:N924" si="171">G921</f>
        <v>100</v>
      </c>
      <c r="H920" s="66">
        <f t="shared" si="171"/>
        <v>0</v>
      </c>
      <c r="I920" s="67">
        <f t="shared" si="161"/>
        <v>100</v>
      </c>
      <c r="J920" s="66">
        <f t="shared" si="171"/>
        <v>0</v>
      </c>
      <c r="K920" s="67">
        <f t="shared" si="166"/>
        <v>100</v>
      </c>
      <c r="L920" s="66">
        <f t="shared" si="171"/>
        <v>0</v>
      </c>
      <c r="M920" s="67">
        <f t="shared" si="167"/>
        <v>100</v>
      </c>
      <c r="N920" s="66">
        <f t="shared" si="171"/>
        <v>0</v>
      </c>
      <c r="O920" s="67">
        <f t="shared" si="170"/>
        <v>100</v>
      </c>
    </row>
    <row r="921" spans="1:15" x14ac:dyDescent="0.2">
      <c r="A921" s="64" t="str">
        <f ca="1">IF(ISERROR(MATCH(E921,Код_КЦСР,0)),"",INDIRECT(ADDRESS(MATCH(E921,Код_КЦСР,0)+1,2,,,"КЦСР")))</f>
        <v>Расходы, не включенные в муниципальные программы города Череповца</v>
      </c>
      <c r="B921" s="26">
        <v>807</v>
      </c>
      <c r="C921" s="65" t="s">
        <v>70</v>
      </c>
      <c r="D921" s="65" t="s">
        <v>55</v>
      </c>
      <c r="E921" s="26" t="s">
        <v>399</v>
      </c>
      <c r="F921" s="26"/>
      <c r="G921" s="66">
        <f t="shared" si="171"/>
        <v>100</v>
      </c>
      <c r="H921" s="66">
        <f t="shared" si="171"/>
        <v>0</v>
      </c>
      <c r="I921" s="67">
        <f t="shared" si="161"/>
        <v>100</v>
      </c>
      <c r="J921" s="66">
        <f t="shared" si="171"/>
        <v>0</v>
      </c>
      <c r="K921" s="67">
        <f t="shared" si="166"/>
        <v>100</v>
      </c>
      <c r="L921" s="66">
        <f t="shared" si="171"/>
        <v>0</v>
      </c>
      <c r="M921" s="67">
        <f t="shared" si="167"/>
        <v>100</v>
      </c>
      <c r="N921" s="66">
        <f t="shared" si="171"/>
        <v>0</v>
      </c>
      <c r="O921" s="67">
        <f t="shared" si="170"/>
        <v>100</v>
      </c>
    </row>
    <row r="922" spans="1:15" ht="33" x14ac:dyDescent="0.2">
      <c r="A922" s="64" t="str">
        <f ca="1">IF(ISERROR(MATCH(E922,Код_КЦСР,0)),"",INDIRECT(ADDRESS(MATCH(E922,Код_КЦСР,0)+1,2,,,"КЦСР")))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922" s="26">
        <v>807</v>
      </c>
      <c r="C922" s="65" t="s">
        <v>70</v>
      </c>
      <c r="D922" s="65" t="s">
        <v>55</v>
      </c>
      <c r="E922" s="26" t="s">
        <v>415</v>
      </c>
      <c r="F922" s="26"/>
      <c r="G922" s="66">
        <f t="shared" si="171"/>
        <v>100</v>
      </c>
      <c r="H922" s="66">
        <f t="shared" si="171"/>
        <v>0</v>
      </c>
      <c r="I922" s="67">
        <f t="shared" si="161"/>
        <v>100</v>
      </c>
      <c r="J922" s="66">
        <f t="shared" si="171"/>
        <v>0</v>
      </c>
      <c r="K922" s="67">
        <f t="shared" si="166"/>
        <v>100</v>
      </c>
      <c r="L922" s="66">
        <f t="shared" si="171"/>
        <v>0</v>
      </c>
      <c r="M922" s="67">
        <f t="shared" si="167"/>
        <v>100</v>
      </c>
      <c r="N922" s="66">
        <f t="shared" si="171"/>
        <v>0</v>
      </c>
      <c r="O922" s="67">
        <f t="shared" si="170"/>
        <v>100</v>
      </c>
    </row>
    <row r="923" spans="1:15" x14ac:dyDescent="0.2">
      <c r="A923" s="64" t="str">
        <f ca="1">IF(ISERROR(MATCH(E923,Код_КЦСР,0)),"",INDIRECT(ADDRESS(MATCH(E923,Код_КЦСР,0)+1,2,,,"КЦСР")))</f>
        <v>Расходы на судебные издержки и исполнение судебных решений</v>
      </c>
      <c r="B923" s="26">
        <v>807</v>
      </c>
      <c r="C923" s="65" t="s">
        <v>70</v>
      </c>
      <c r="D923" s="65" t="s">
        <v>55</v>
      </c>
      <c r="E923" s="26" t="s">
        <v>416</v>
      </c>
      <c r="F923" s="26"/>
      <c r="G923" s="66">
        <f>G924</f>
        <v>100</v>
      </c>
      <c r="H923" s="66">
        <f>H924</f>
        <v>0</v>
      </c>
      <c r="I923" s="67">
        <f t="shared" si="161"/>
        <v>100</v>
      </c>
      <c r="J923" s="66">
        <f>J924</f>
        <v>0</v>
      </c>
      <c r="K923" s="67">
        <f t="shared" si="166"/>
        <v>100</v>
      </c>
      <c r="L923" s="66">
        <f>L924</f>
        <v>0</v>
      </c>
      <c r="M923" s="67">
        <f t="shared" si="167"/>
        <v>100</v>
      </c>
      <c r="N923" s="66">
        <f>N924</f>
        <v>0</v>
      </c>
      <c r="O923" s="67">
        <f t="shared" si="170"/>
        <v>100</v>
      </c>
    </row>
    <row r="924" spans="1:15" x14ac:dyDescent="0.2">
      <c r="A924" s="64" t="str">
        <f ca="1">IF(ISERROR(MATCH(F924,Код_КВР,0)),"",INDIRECT(ADDRESS(MATCH(F924,Код_КВР,0)+1,2,,,"КВР")))</f>
        <v>Иные бюджетные ассигнования</v>
      </c>
      <c r="B924" s="26">
        <v>807</v>
      </c>
      <c r="C924" s="65" t="s">
        <v>70</v>
      </c>
      <c r="D924" s="65" t="s">
        <v>55</v>
      </c>
      <c r="E924" s="26" t="s">
        <v>416</v>
      </c>
      <c r="F924" s="26">
        <v>800</v>
      </c>
      <c r="G924" s="66">
        <f t="shared" si="171"/>
        <v>100</v>
      </c>
      <c r="H924" s="66">
        <f t="shared" si="171"/>
        <v>0</v>
      </c>
      <c r="I924" s="67">
        <f t="shared" si="161"/>
        <v>100</v>
      </c>
      <c r="J924" s="66">
        <f t="shared" si="171"/>
        <v>0</v>
      </c>
      <c r="K924" s="67">
        <f t="shared" si="166"/>
        <v>100</v>
      </c>
      <c r="L924" s="66">
        <f t="shared" si="171"/>
        <v>0</v>
      </c>
      <c r="M924" s="67">
        <f t="shared" si="167"/>
        <v>100</v>
      </c>
      <c r="N924" s="66">
        <f t="shared" si="171"/>
        <v>0</v>
      </c>
      <c r="O924" s="67">
        <f t="shared" si="170"/>
        <v>100</v>
      </c>
    </row>
    <row r="925" spans="1:15" x14ac:dyDescent="0.2">
      <c r="A925" s="64" t="str">
        <f ca="1">IF(ISERROR(MATCH(F925,Код_КВР,0)),"",INDIRECT(ADDRESS(MATCH(F925,Код_КВР,0)+1,2,,,"КВР")))</f>
        <v>Исполнение судебных актов</v>
      </c>
      <c r="B925" s="26">
        <v>807</v>
      </c>
      <c r="C925" s="65" t="s">
        <v>70</v>
      </c>
      <c r="D925" s="65" t="s">
        <v>55</v>
      </c>
      <c r="E925" s="26" t="s">
        <v>416</v>
      </c>
      <c r="F925" s="26">
        <v>830</v>
      </c>
      <c r="G925" s="66">
        <v>100</v>
      </c>
      <c r="H925" s="66"/>
      <c r="I925" s="67">
        <f t="shared" si="161"/>
        <v>100</v>
      </c>
      <c r="J925" s="66"/>
      <c r="K925" s="67">
        <f t="shared" si="166"/>
        <v>100</v>
      </c>
      <c r="L925" s="66"/>
      <c r="M925" s="67">
        <f t="shared" si="167"/>
        <v>100</v>
      </c>
      <c r="N925" s="66"/>
      <c r="O925" s="67">
        <f t="shared" si="170"/>
        <v>100</v>
      </c>
    </row>
    <row r="926" spans="1:15" x14ac:dyDescent="0.2">
      <c r="A926" s="64" t="str">
        <f ca="1">IF(ISERROR(MATCH(C926,Код_Раздел,0)),"",INDIRECT(ADDRESS(MATCH(C926,Код_Раздел,0)+1,2,,,"Раздел")))</f>
        <v>Образование</v>
      </c>
      <c r="B926" s="26">
        <v>807</v>
      </c>
      <c r="C926" s="65" t="s">
        <v>60</v>
      </c>
      <c r="D926" s="65"/>
      <c r="E926" s="26"/>
      <c r="F926" s="26"/>
      <c r="G926" s="66">
        <f>G927</f>
        <v>58.5</v>
      </c>
      <c r="H926" s="66">
        <f>H927</f>
        <v>0</v>
      </c>
      <c r="I926" s="67">
        <f t="shared" si="161"/>
        <v>58.5</v>
      </c>
      <c r="J926" s="66">
        <f>J927</f>
        <v>0</v>
      </c>
      <c r="K926" s="67">
        <f t="shared" si="166"/>
        <v>58.5</v>
      </c>
      <c r="L926" s="66">
        <f>L927</f>
        <v>0</v>
      </c>
      <c r="M926" s="67">
        <f t="shared" si="167"/>
        <v>58.5</v>
      </c>
      <c r="N926" s="66">
        <f>N927</f>
        <v>0</v>
      </c>
      <c r="O926" s="67">
        <f t="shared" si="170"/>
        <v>58.5</v>
      </c>
    </row>
    <row r="927" spans="1:15" x14ac:dyDescent="0.2">
      <c r="A927" s="45" t="s">
        <v>532</v>
      </c>
      <c r="B927" s="26">
        <v>807</v>
      </c>
      <c r="C927" s="65" t="s">
        <v>60</v>
      </c>
      <c r="D927" s="65" t="s">
        <v>78</v>
      </c>
      <c r="E927" s="26"/>
      <c r="F927" s="26"/>
      <c r="G927" s="66">
        <f>G928</f>
        <v>58.5</v>
      </c>
      <c r="H927" s="66">
        <f>H928</f>
        <v>0</v>
      </c>
      <c r="I927" s="67">
        <f t="shared" si="161"/>
        <v>58.5</v>
      </c>
      <c r="J927" s="66">
        <f>J928</f>
        <v>0</v>
      </c>
      <c r="K927" s="67">
        <f t="shared" si="166"/>
        <v>58.5</v>
      </c>
      <c r="L927" s="66">
        <f>L928</f>
        <v>0</v>
      </c>
      <c r="M927" s="67">
        <f t="shared" si="167"/>
        <v>58.5</v>
      </c>
      <c r="N927" s="66">
        <f>N928</f>
        <v>0</v>
      </c>
      <c r="O927" s="67">
        <f t="shared" si="170"/>
        <v>58.5</v>
      </c>
    </row>
    <row r="928" spans="1:15" x14ac:dyDescent="0.2">
      <c r="A928" s="64" t="str">
        <f ca="1">IF(ISERROR(MATCH(E928,Код_КЦСР,0)),"",INDIRECT(ADDRESS(MATCH(E928,Код_КЦСР,0)+1,2,,,"КЦСР")))</f>
        <v>Расходы, не включенные в муниципальные программы города Череповца</v>
      </c>
      <c r="B928" s="26">
        <v>807</v>
      </c>
      <c r="C928" s="65" t="s">
        <v>60</v>
      </c>
      <c r="D928" s="65" t="s">
        <v>78</v>
      </c>
      <c r="E928" s="26" t="s">
        <v>399</v>
      </c>
      <c r="F928" s="26"/>
      <c r="G928" s="88">
        <f>G929+G934</f>
        <v>58.5</v>
      </c>
      <c r="H928" s="88">
        <f>H929+H934</f>
        <v>0</v>
      </c>
      <c r="I928" s="67">
        <f t="shared" si="161"/>
        <v>58.5</v>
      </c>
      <c r="J928" s="88">
        <f>J929+J934</f>
        <v>0</v>
      </c>
      <c r="K928" s="67">
        <f t="shared" si="166"/>
        <v>58.5</v>
      </c>
      <c r="L928" s="88">
        <f>L929+L934</f>
        <v>0</v>
      </c>
      <c r="M928" s="67">
        <f t="shared" si="167"/>
        <v>58.5</v>
      </c>
      <c r="N928" s="88">
        <f>N929+N934</f>
        <v>0</v>
      </c>
      <c r="O928" s="67">
        <f t="shared" si="170"/>
        <v>58.5</v>
      </c>
    </row>
    <row r="929" spans="1:15" ht="33" x14ac:dyDescent="0.2">
      <c r="A929" s="64" t="str">
        <f ca="1">IF(ISERROR(MATCH(E929,Код_КЦСР,0)),"",INDIRECT(ADDRESS(MATCH(E929,Код_КЦСР,0)+1,2,,,"КЦСР")))</f>
        <v>Руководство и управление в сфере установленных функций органов местного самоуправления</v>
      </c>
      <c r="B929" s="26">
        <v>807</v>
      </c>
      <c r="C929" s="65" t="s">
        <v>60</v>
      </c>
      <c r="D929" s="65" t="s">
        <v>78</v>
      </c>
      <c r="E929" s="26" t="s">
        <v>400</v>
      </c>
      <c r="F929" s="26"/>
      <c r="G929" s="66">
        <f t="shared" ref="G929:N932" si="172">G930</f>
        <v>58.5</v>
      </c>
      <c r="H929" s="66">
        <f t="shared" si="172"/>
        <v>0</v>
      </c>
      <c r="I929" s="67">
        <f t="shared" si="161"/>
        <v>58.5</v>
      </c>
      <c r="J929" s="66">
        <f t="shared" si="172"/>
        <v>0</v>
      </c>
      <c r="K929" s="67">
        <f t="shared" si="166"/>
        <v>58.5</v>
      </c>
      <c r="L929" s="66">
        <f t="shared" si="172"/>
        <v>0</v>
      </c>
      <c r="M929" s="67">
        <f t="shared" si="167"/>
        <v>58.5</v>
      </c>
      <c r="N929" s="66">
        <f t="shared" si="172"/>
        <v>0</v>
      </c>
      <c r="O929" s="67">
        <f t="shared" si="170"/>
        <v>58.5</v>
      </c>
    </row>
    <row r="930" spans="1:15" ht="33" x14ac:dyDescent="0.2">
      <c r="A930" s="64" t="str">
        <f ca="1">IF(ISERROR(MATCH(E930,Код_КЦСР,0)),"",INDIRECT(ADDRESS(MATCH(E930,Код_КЦСР,0)+1,2,,,"КЦСР")))</f>
        <v>Обеспечение деятельности исполнительных органов местного самоуправления</v>
      </c>
      <c r="B930" s="26">
        <v>807</v>
      </c>
      <c r="C930" s="65" t="s">
        <v>60</v>
      </c>
      <c r="D930" s="65" t="s">
        <v>78</v>
      </c>
      <c r="E930" s="26" t="s">
        <v>403</v>
      </c>
      <c r="F930" s="26"/>
      <c r="G930" s="66">
        <f t="shared" si="172"/>
        <v>58.5</v>
      </c>
      <c r="H930" s="66">
        <f t="shared" si="172"/>
        <v>0</v>
      </c>
      <c r="I930" s="67">
        <f t="shared" si="161"/>
        <v>58.5</v>
      </c>
      <c r="J930" s="66">
        <f t="shared" si="172"/>
        <v>0</v>
      </c>
      <c r="K930" s="67">
        <f t="shared" si="166"/>
        <v>58.5</v>
      </c>
      <c r="L930" s="66">
        <f t="shared" si="172"/>
        <v>0</v>
      </c>
      <c r="M930" s="67">
        <f t="shared" si="167"/>
        <v>58.5</v>
      </c>
      <c r="N930" s="66">
        <f t="shared" si="172"/>
        <v>0</v>
      </c>
      <c r="O930" s="67">
        <f t="shared" si="170"/>
        <v>58.5</v>
      </c>
    </row>
    <row r="931" spans="1:15" x14ac:dyDescent="0.2">
      <c r="A931" s="64" t="str">
        <f ca="1">IF(ISERROR(MATCH(E931,Код_КЦСР,0)),"",INDIRECT(ADDRESS(MATCH(E931,Код_КЦСР,0)+1,2,,,"КЦСР")))</f>
        <v>Расходы на обеспечение функций органов местного самоуправления</v>
      </c>
      <c r="B931" s="26">
        <v>807</v>
      </c>
      <c r="C931" s="65" t="s">
        <v>60</v>
      </c>
      <c r="D931" s="65" t="s">
        <v>78</v>
      </c>
      <c r="E931" s="26" t="s">
        <v>405</v>
      </c>
      <c r="F931" s="26"/>
      <c r="G931" s="66">
        <f t="shared" si="172"/>
        <v>58.5</v>
      </c>
      <c r="H931" s="66">
        <f t="shared" si="172"/>
        <v>0</v>
      </c>
      <c r="I931" s="67">
        <f t="shared" si="161"/>
        <v>58.5</v>
      </c>
      <c r="J931" s="66">
        <f t="shared" si="172"/>
        <v>0</v>
      </c>
      <c r="K931" s="67">
        <f t="shared" si="166"/>
        <v>58.5</v>
      </c>
      <c r="L931" s="66">
        <f t="shared" si="172"/>
        <v>0</v>
      </c>
      <c r="M931" s="67">
        <f t="shared" si="167"/>
        <v>58.5</v>
      </c>
      <c r="N931" s="66">
        <f t="shared" si="172"/>
        <v>0</v>
      </c>
      <c r="O931" s="67">
        <f t="shared" si="170"/>
        <v>58.5</v>
      </c>
    </row>
    <row r="932" spans="1:15" ht="33" x14ac:dyDescent="0.2">
      <c r="A932" s="64" t="str">
        <f ca="1">IF(ISERROR(MATCH(F932,Код_КВР,0)),"",INDIRECT(ADDRESS(MATCH(F932,Код_КВР,0)+1,2,,,"КВР")))</f>
        <v>Закупка товаров, работ и услуг для обеспечения государственных (муниципальных) нужд</v>
      </c>
      <c r="B932" s="26">
        <v>807</v>
      </c>
      <c r="C932" s="65" t="s">
        <v>60</v>
      </c>
      <c r="D932" s="65" t="s">
        <v>78</v>
      </c>
      <c r="E932" s="26" t="s">
        <v>405</v>
      </c>
      <c r="F932" s="26">
        <v>200</v>
      </c>
      <c r="G932" s="66">
        <f t="shared" si="172"/>
        <v>58.5</v>
      </c>
      <c r="H932" s="66">
        <f t="shared" si="172"/>
        <v>0</v>
      </c>
      <c r="I932" s="67">
        <f t="shared" si="161"/>
        <v>58.5</v>
      </c>
      <c r="J932" s="66">
        <f t="shared" si="172"/>
        <v>0</v>
      </c>
      <c r="K932" s="67">
        <f t="shared" si="166"/>
        <v>58.5</v>
      </c>
      <c r="L932" s="66">
        <f t="shared" si="172"/>
        <v>0</v>
      </c>
      <c r="M932" s="67">
        <f t="shared" si="167"/>
        <v>58.5</v>
      </c>
      <c r="N932" s="66">
        <f t="shared" si="172"/>
        <v>0</v>
      </c>
      <c r="O932" s="67">
        <f t="shared" si="170"/>
        <v>58.5</v>
      </c>
    </row>
    <row r="933" spans="1:15" ht="33" x14ac:dyDescent="0.2">
      <c r="A933" s="64" t="str">
        <f ca="1">IF(ISERROR(MATCH(F933,Код_КВР,0)),"",INDIRECT(ADDRESS(MATCH(F933,Код_КВР,0)+1,2,,,"КВР")))</f>
        <v>Иные закупки товаров, работ и услуг для обеспечения государственных (муниципальных) нужд</v>
      </c>
      <c r="B933" s="26">
        <v>807</v>
      </c>
      <c r="C933" s="65" t="s">
        <v>60</v>
      </c>
      <c r="D933" s="65" t="s">
        <v>78</v>
      </c>
      <c r="E933" s="26" t="s">
        <v>405</v>
      </c>
      <c r="F933" s="26">
        <v>240</v>
      </c>
      <c r="G933" s="66">
        <v>58.5</v>
      </c>
      <c r="H933" s="66"/>
      <c r="I933" s="67">
        <f t="shared" si="161"/>
        <v>58.5</v>
      </c>
      <c r="J933" s="66"/>
      <c r="K933" s="67">
        <f t="shared" si="166"/>
        <v>58.5</v>
      </c>
      <c r="L933" s="66"/>
      <c r="M933" s="67">
        <f t="shared" si="167"/>
        <v>58.5</v>
      </c>
      <c r="N933" s="66"/>
      <c r="O933" s="67">
        <f t="shared" si="170"/>
        <v>58.5</v>
      </c>
    </row>
    <row r="934" spans="1:15" hidden="1" x14ac:dyDescent="0.2">
      <c r="A934" s="64" t="str">
        <f ca="1">IF(ISERROR(MATCH(E934,Код_КЦСР,0)),"",INDIRECT(ADDRESS(MATCH(E934,Код_КЦСР,0)+1,2,,,"КЦСР")))</f>
        <v>Иные непрограммные расходы</v>
      </c>
      <c r="B934" s="26">
        <v>807</v>
      </c>
      <c r="C934" s="65" t="s">
        <v>60</v>
      </c>
      <c r="D934" s="65" t="s">
        <v>78</v>
      </c>
      <c r="E934" s="26" t="s">
        <v>421</v>
      </c>
      <c r="F934" s="26"/>
      <c r="G934" s="66">
        <f t="shared" ref="G934:N936" si="173">G935</f>
        <v>0</v>
      </c>
      <c r="H934" s="66">
        <f t="shared" si="173"/>
        <v>0</v>
      </c>
      <c r="I934" s="67">
        <f t="shared" si="161"/>
        <v>0</v>
      </c>
      <c r="J934" s="66">
        <f t="shared" si="173"/>
        <v>0</v>
      </c>
      <c r="K934" s="67">
        <f t="shared" si="166"/>
        <v>0</v>
      </c>
      <c r="L934" s="66">
        <f t="shared" si="173"/>
        <v>0</v>
      </c>
      <c r="M934" s="67">
        <f t="shared" si="167"/>
        <v>0</v>
      </c>
      <c r="N934" s="66">
        <f t="shared" si="173"/>
        <v>0</v>
      </c>
      <c r="O934" s="67">
        <f t="shared" si="170"/>
        <v>0</v>
      </c>
    </row>
    <row r="935" spans="1:15" ht="33" hidden="1" x14ac:dyDescent="0.2">
      <c r="A935" s="64" t="str">
        <f ca="1">IF(ISERROR(MATCH(E935,Код_КЦСР,0)),"",INDIRECT(ADDRESS(MATCH(E935,Код_КЦСР,0)+1,2,,,"КЦСР")))</f>
        <v>Обеспечение деятельности муниципального казенного учреждения «Финансово-бухгалтерский центр»</v>
      </c>
      <c r="B935" s="26">
        <v>807</v>
      </c>
      <c r="C935" s="65" t="s">
        <v>60</v>
      </c>
      <c r="D935" s="65" t="s">
        <v>78</v>
      </c>
      <c r="E935" s="26" t="s">
        <v>424</v>
      </c>
      <c r="F935" s="26"/>
      <c r="G935" s="66">
        <f t="shared" si="173"/>
        <v>0</v>
      </c>
      <c r="H935" s="66">
        <f t="shared" si="173"/>
        <v>0</v>
      </c>
      <c r="I935" s="67">
        <f t="shared" ref="I935:I1004" si="174">G935+H935</f>
        <v>0</v>
      </c>
      <c r="J935" s="66">
        <f t="shared" si="173"/>
        <v>0</v>
      </c>
      <c r="K935" s="67">
        <f t="shared" si="166"/>
        <v>0</v>
      </c>
      <c r="L935" s="66">
        <f t="shared" si="173"/>
        <v>0</v>
      </c>
      <c r="M935" s="67">
        <f t="shared" si="167"/>
        <v>0</v>
      </c>
      <c r="N935" s="66">
        <f t="shared" si="173"/>
        <v>0</v>
      </c>
      <c r="O935" s="67">
        <f t="shared" si="170"/>
        <v>0</v>
      </c>
    </row>
    <row r="936" spans="1:15" ht="33" hidden="1" x14ac:dyDescent="0.2">
      <c r="A936" s="64" t="str">
        <f ca="1">IF(ISERROR(MATCH(F936,Код_КВР,0)),"",INDIRECT(ADDRESS(MATCH(F936,Код_КВР,0)+1,2,,,"КВР")))</f>
        <v>Закупка товаров, работ и услуг для обеспечения государственных (муниципальных) нужд</v>
      </c>
      <c r="B936" s="26">
        <v>807</v>
      </c>
      <c r="C936" s="65" t="s">
        <v>60</v>
      </c>
      <c r="D936" s="65" t="s">
        <v>78</v>
      </c>
      <c r="E936" s="26" t="s">
        <v>424</v>
      </c>
      <c r="F936" s="26">
        <v>200</v>
      </c>
      <c r="G936" s="66">
        <f t="shared" si="173"/>
        <v>0</v>
      </c>
      <c r="H936" s="66">
        <f t="shared" si="173"/>
        <v>0</v>
      </c>
      <c r="I936" s="67">
        <f t="shared" si="174"/>
        <v>0</v>
      </c>
      <c r="J936" s="66">
        <f t="shared" si="173"/>
        <v>0</v>
      </c>
      <c r="K936" s="67">
        <f t="shared" si="166"/>
        <v>0</v>
      </c>
      <c r="L936" s="66">
        <f t="shared" si="173"/>
        <v>0</v>
      </c>
      <c r="M936" s="67">
        <f t="shared" si="167"/>
        <v>0</v>
      </c>
      <c r="N936" s="66">
        <f t="shared" si="173"/>
        <v>0</v>
      </c>
      <c r="O936" s="67">
        <f t="shared" si="170"/>
        <v>0</v>
      </c>
    </row>
    <row r="937" spans="1:15" ht="33" hidden="1" x14ac:dyDescent="0.2">
      <c r="A937" s="64" t="str">
        <f ca="1">IF(ISERROR(MATCH(F937,Код_КВР,0)),"",INDIRECT(ADDRESS(MATCH(F937,Код_КВР,0)+1,2,,,"КВР")))</f>
        <v>Иные закупки товаров, работ и услуг для обеспечения государственных (муниципальных) нужд</v>
      </c>
      <c r="B937" s="26">
        <v>807</v>
      </c>
      <c r="C937" s="65" t="s">
        <v>60</v>
      </c>
      <c r="D937" s="65" t="s">
        <v>78</v>
      </c>
      <c r="E937" s="26" t="s">
        <v>424</v>
      </c>
      <c r="F937" s="26">
        <v>240</v>
      </c>
      <c r="G937" s="66"/>
      <c r="H937" s="66"/>
      <c r="I937" s="67">
        <f t="shared" si="174"/>
        <v>0</v>
      </c>
      <c r="J937" s="66"/>
      <c r="K937" s="67">
        <f t="shared" si="166"/>
        <v>0</v>
      </c>
      <c r="L937" s="66"/>
      <c r="M937" s="67">
        <f t="shared" si="167"/>
        <v>0</v>
      </c>
      <c r="N937" s="66"/>
      <c r="O937" s="67">
        <f t="shared" si="170"/>
        <v>0</v>
      </c>
    </row>
    <row r="938" spans="1:15" x14ac:dyDescent="0.2">
      <c r="A938" s="64" t="str">
        <f ca="1">IF(ISERROR(MATCH(C938,Код_Раздел,0)),"",INDIRECT(ADDRESS(MATCH(C938,Код_Раздел,0)+1,2,,,"Раздел")))</f>
        <v>Обслуживание государственного и муниципального долга</v>
      </c>
      <c r="B938" s="26">
        <v>807</v>
      </c>
      <c r="C938" s="65" t="s">
        <v>55</v>
      </c>
      <c r="D938" s="65"/>
      <c r="E938" s="26"/>
      <c r="F938" s="26"/>
      <c r="G938" s="66">
        <f t="shared" ref="G938:N941" si="175">G939</f>
        <v>87571</v>
      </c>
      <c r="H938" s="66">
        <f t="shared" si="175"/>
        <v>0</v>
      </c>
      <c r="I938" s="67">
        <f t="shared" si="174"/>
        <v>87571</v>
      </c>
      <c r="J938" s="66">
        <f t="shared" si="175"/>
        <v>0</v>
      </c>
      <c r="K938" s="67">
        <f t="shared" si="166"/>
        <v>87571</v>
      </c>
      <c r="L938" s="66">
        <f t="shared" si="175"/>
        <v>0</v>
      </c>
      <c r="M938" s="67">
        <f t="shared" si="167"/>
        <v>87571</v>
      </c>
      <c r="N938" s="66">
        <f t="shared" si="175"/>
        <v>0</v>
      </c>
      <c r="O938" s="67">
        <f t="shared" si="170"/>
        <v>87571</v>
      </c>
    </row>
    <row r="939" spans="1:15" x14ac:dyDescent="0.2">
      <c r="A939" s="74" t="s">
        <v>110</v>
      </c>
      <c r="B939" s="26">
        <v>807</v>
      </c>
      <c r="C939" s="65" t="s">
        <v>55</v>
      </c>
      <c r="D939" s="65" t="s">
        <v>70</v>
      </c>
      <c r="E939" s="26"/>
      <c r="F939" s="26"/>
      <c r="G939" s="66">
        <f t="shared" si="175"/>
        <v>87571</v>
      </c>
      <c r="H939" s="66">
        <f t="shared" si="175"/>
        <v>0</v>
      </c>
      <c r="I939" s="67">
        <f t="shared" si="174"/>
        <v>87571</v>
      </c>
      <c r="J939" s="66">
        <f t="shared" si="175"/>
        <v>0</v>
      </c>
      <c r="K939" s="67">
        <f t="shared" si="166"/>
        <v>87571</v>
      </c>
      <c r="L939" s="66">
        <f t="shared" si="175"/>
        <v>0</v>
      </c>
      <c r="M939" s="67">
        <f t="shared" si="167"/>
        <v>87571</v>
      </c>
      <c r="N939" s="66">
        <f t="shared" si="175"/>
        <v>0</v>
      </c>
      <c r="O939" s="67">
        <f t="shared" si="170"/>
        <v>87571</v>
      </c>
    </row>
    <row r="940" spans="1:15" x14ac:dyDescent="0.2">
      <c r="A940" s="64" t="str">
        <f ca="1">IF(ISERROR(MATCH(E940,Код_КЦСР,0)),"",INDIRECT(ADDRESS(MATCH(E940,Код_КЦСР,0)+1,2,,,"КЦСР")))</f>
        <v>Расходы, не включенные в муниципальные программы города Череповца</v>
      </c>
      <c r="B940" s="26">
        <v>807</v>
      </c>
      <c r="C940" s="65" t="s">
        <v>55</v>
      </c>
      <c r="D940" s="65" t="s">
        <v>70</v>
      </c>
      <c r="E940" s="26" t="s">
        <v>399</v>
      </c>
      <c r="F940" s="26"/>
      <c r="G940" s="66">
        <f t="shared" si="175"/>
        <v>87571</v>
      </c>
      <c r="H940" s="66">
        <f t="shared" si="175"/>
        <v>0</v>
      </c>
      <c r="I940" s="67">
        <f t="shared" si="174"/>
        <v>87571</v>
      </c>
      <c r="J940" s="66">
        <f t="shared" si="175"/>
        <v>0</v>
      </c>
      <c r="K940" s="67">
        <f t="shared" si="166"/>
        <v>87571</v>
      </c>
      <c r="L940" s="66">
        <f t="shared" si="175"/>
        <v>0</v>
      </c>
      <c r="M940" s="67">
        <f t="shared" si="167"/>
        <v>87571</v>
      </c>
      <c r="N940" s="66">
        <f t="shared" si="175"/>
        <v>0</v>
      </c>
      <c r="O940" s="67">
        <f t="shared" si="170"/>
        <v>87571</v>
      </c>
    </row>
    <row r="941" spans="1:15" x14ac:dyDescent="0.2">
      <c r="A941" s="64" t="str">
        <f ca="1">IF(ISERROR(MATCH(E941,Код_КЦСР,0)),"",INDIRECT(ADDRESS(MATCH(E941,Код_КЦСР,0)+1,2,,,"КЦСР")))</f>
        <v>Иные непрограммные расходы</v>
      </c>
      <c r="B941" s="26">
        <v>807</v>
      </c>
      <c r="C941" s="65" t="s">
        <v>55</v>
      </c>
      <c r="D941" s="65" t="s">
        <v>70</v>
      </c>
      <c r="E941" s="26" t="s">
        <v>421</v>
      </c>
      <c r="F941" s="26"/>
      <c r="G941" s="66">
        <f t="shared" si="175"/>
        <v>87571</v>
      </c>
      <c r="H941" s="66">
        <f t="shared" si="175"/>
        <v>0</v>
      </c>
      <c r="I941" s="67">
        <f t="shared" si="174"/>
        <v>87571</v>
      </c>
      <c r="J941" s="66">
        <f t="shared" si="175"/>
        <v>0</v>
      </c>
      <c r="K941" s="67">
        <f t="shared" si="166"/>
        <v>87571</v>
      </c>
      <c r="L941" s="66">
        <f t="shared" si="175"/>
        <v>0</v>
      </c>
      <c r="M941" s="67">
        <f t="shared" si="167"/>
        <v>87571</v>
      </c>
      <c r="N941" s="66">
        <f t="shared" si="175"/>
        <v>0</v>
      </c>
      <c r="O941" s="67">
        <f t="shared" si="170"/>
        <v>87571</v>
      </c>
    </row>
    <row r="942" spans="1:15" x14ac:dyDescent="0.2">
      <c r="A942" s="64" t="str">
        <f ca="1">IF(ISERROR(MATCH(E942,Код_КЦСР,0)),"",INDIRECT(ADDRESS(MATCH(E942,Код_КЦСР,0)+1,2,,,"КЦСР")))</f>
        <v>Процентные платежи по муниципальному долгу</v>
      </c>
      <c r="B942" s="26">
        <v>807</v>
      </c>
      <c r="C942" s="65" t="s">
        <v>55</v>
      </c>
      <c r="D942" s="65" t="s">
        <v>70</v>
      </c>
      <c r="E942" s="26" t="s">
        <v>423</v>
      </c>
      <c r="F942" s="26"/>
      <c r="G942" s="66">
        <f t="shared" ref="G942:N943" si="176">G943</f>
        <v>87571</v>
      </c>
      <c r="H942" s="66">
        <f t="shared" si="176"/>
        <v>0</v>
      </c>
      <c r="I942" s="67">
        <f t="shared" si="174"/>
        <v>87571</v>
      </c>
      <c r="J942" s="66">
        <f t="shared" si="176"/>
        <v>0</v>
      </c>
      <c r="K942" s="67">
        <f t="shared" si="166"/>
        <v>87571</v>
      </c>
      <c r="L942" s="66">
        <f t="shared" si="176"/>
        <v>0</v>
      </c>
      <c r="M942" s="67">
        <f t="shared" si="167"/>
        <v>87571</v>
      </c>
      <c r="N942" s="66">
        <f t="shared" si="176"/>
        <v>0</v>
      </c>
      <c r="O942" s="67">
        <f t="shared" si="170"/>
        <v>87571</v>
      </c>
    </row>
    <row r="943" spans="1:15" x14ac:dyDescent="0.2">
      <c r="A943" s="64" t="str">
        <f ca="1">IF(ISERROR(MATCH(F943,Код_КВР,0)),"",INDIRECT(ADDRESS(MATCH(F943,Код_КВР,0)+1,2,,,"КВР")))</f>
        <v>Обслуживание государственного (муниципального) долга</v>
      </c>
      <c r="B943" s="26">
        <v>807</v>
      </c>
      <c r="C943" s="65" t="s">
        <v>55</v>
      </c>
      <c r="D943" s="65" t="s">
        <v>70</v>
      </c>
      <c r="E943" s="26" t="s">
        <v>423</v>
      </c>
      <c r="F943" s="26">
        <v>700</v>
      </c>
      <c r="G943" s="66">
        <f t="shared" si="176"/>
        <v>87571</v>
      </c>
      <c r="H943" s="66">
        <f t="shared" si="176"/>
        <v>0</v>
      </c>
      <c r="I943" s="67">
        <f t="shared" si="174"/>
        <v>87571</v>
      </c>
      <c r="J943" s="66">
        <f t="shared" si="176"/>
        <v>0</v>
      </c>
      <c r="K943" s="67">
        <f t="shared" si="166"/>
        <v>87571</v>
      </c>
      <c r="L943" s="66">
        <f t="shared" si="176"/>
        <v>0</v>
      </c>
      <c r="M943" s="67">
        <f t="shared" si="167"/>
        <v>87571</v>
      </c>
      <c r="N943" s="66">
        <f t="shared" si="176"/>
        <v>0</v>
      </c>
      <c r="O943" s="67">
        <f t="shared" si="170"/>
        <v>87571</v>
      </c>
    </row>
    <row r="944" spans="1:15" x14ac:dyDescent="0.2">
      <c r="A944" s="64" t="str">
        <f ca="1">IF(ISERROR(MATCH(F944,Код_КВР,0)),"",INDIRECT(ADDRESS(MATCH(F944,Код_КВР,0)+1,2,,,"КВР")))</f>
        <v>Обслуживание муниципального долга</v>
      </c>
      <c r="B944" s="26">
        <v>807</v>
      </c>
      <c r="C944" s="65" t="s">
        <v>55</v>
      </c>
      <c r="D944" s="65" t="s">
        <v>70</v>
      </c>
      <c r="E944" s="26" t="s">
        <v>423</v>
      </c>
      <c r="F944" s="26">
        <v>730</v>
      </c>
      <c r="G944" s="66">
        <v>87571</v>
      </c>
      <c r="H944" s="66"/>
      <c r="I944" s="67">
        <f t="shared" si="174"/>
        <v>87571</v>
      </c>
      <c r="J944" s="66"/>
      <c r="K944" s="67">
        <f t="shared" si="166"/>
        <v>87571</v>
      </c>
      <c r="L944" s="66"/>
      <c r="M944" s="67">
        <f t="shared" si="167"/>
        <v>87571</v>
      </c>
      <c r="N944" s="66"/>
      <c r="O944" s="67">
        <f t="shared" si="170"/>
        <v>87571</v>
      </c>
    </row>
    <row r="945" spans="1:15" x14ac:dyDescent="0.2">
      <c r="A945" s="64" t="str">
        <f ca="1">IF(ISERROR(MATCH(B945,Код_ППП,0)),"",INDIRECT(ADDRESS(MATCH(B945,Код_ППП,0)+1,2,,,"ППП")))</f>
        <v>УПРАВЛЕНИЕ ПО ДЕЛАМ КУЛЬТУРЫ МЭРИИ ГОРОДА</v>
      </c>
      <c r="B945" s="26">
        <v>808</v>
      </c>
      <c r="C945" s="65"/>
      <c r="D945" s="65"/>
      <c r="E945" s="26"/>
      <c r="F945" s="26"/>
      <c r="G945" s="66">
        <f>G946+G956+G974</f>
        <v>443021.6</v>
      </c>
      <c r="H945" s="66">
        <f>H946+H956+H974</f>
        <v>0</v>
      </c>
      <c r="I945" s="67">
        <f t="shared" si="174"/>
        <v>443021.6</v>
      </c>
      <c r="J945" s="66">
        <f>J946+J956+J974</f>
        <v>0</v>
      </c>
      <c r="K945" s="67">
        <f t="shared" si="166"/>
        <v>443021.6</v>
      </c>
      <c r="L945" s="66">
        <f>L946+L956+L974</f>
        <v>1280.2000000000003</v>
      </c>
      <c r="M945" s="67">
        <f t="shared" si="167"/>
        <v>444301.8</v>
      </c>
      <c r="N945" s="66">
        <f>N946+N956+N974</f>
        <v>0</v>
      </c>
      <c r="O945" s="67">
        <f t="shared" si="170"/>
        <v>444301.8</v>
      </c>
    </row>
    <row r="946" spans="1:15" x14ac:dyDescent="0.2">
      <c r="A946" s="64" t="str">
        <f ca="1">IF(ISERROR(MATCH(C946,Код_Раздел,0)),"",INDIRECT(ADDRESS(MATCH(C946,Код_Раздел,0)+1,2,,,"Раздел")))</f>
        <v>Национальная экономика</v>
      </c>
      <c r="B946" s="26">
        <v>808</v>
      </c>
      <c r="C946" s="65" t="s">
        <v>73</v>
      </c>
      <c r="D946" s="65"/>
      <c r="E946" s="26"/>
      <c r="F946" s="26"/>
      <c r="G946" s="66">
        <f t="shared" ref="G946:N954" si="177">G947</f>
        <v>150.20000000000002</v>
      </c>
      <c r="H946" s="66">
        <f t="shared" si="177"/>
        <v>0</v>
      </c>
      <c r="I946" s="67">
        <f t="shared" si="174"/>
        <v>150.20000000000002</v>
      </c>
      <c r="J946" s="66">
        <f t="shared" si="177"/>
        <v>0</v>
      </c>
      <c r="K946" s="67">
        <f t="shared" si="166"/>
        <v>150.20000000000002</v>
      </c>
      <c r="L946" s="66">
        <f t="shared" si="177"/>
        <v>0</v>
      </c>
      <c r="M946" s="67">
        <f t="shared" si="167"/>
        <v>150.20000000000002</v>
      </c>
      <c r="N946" s="66">
        <f t="shared" si="177"/>
        <v>0</v>
      </c>
      <c r="O946" s="67">
        <f t="shared" si="170"/>
        <v>150.20000000000002</v>
      </c>
    </row>
    <row r="947" spans="1:15" x14ac:dyDescent="0.2">
      <c r="A947" s="45" t="s">
        <v>80</v>
      </c>
      <c r="B947" s="26">
        <v>808</v>
      </c>
      <c r="C947" s="65" t="s">
        <v>73</v>
      </c>
      <c r="D947" s="65" t="s">
        <v>61</v>
      </c>
      <c r="E947" s="26"/>
      <c r="F947" s="26"/>
      <c r="G947" s="66">
        <f t="shared" si="177"/>
        <v>150.20000000000002</v>
      </c>
      <c r="H947" s="66">
        <f t="shared" si="177"/>
        <v>0</v>
      </c>
      <c r="I947" s="67">
        <f t="shared" si="174"/>
        <v>150.20000000000002</v>
      </c>
      <c r="J947" s="66">
        <f t="shared" si="177"/>
        <v>0</v>
      </c>
      <c r="K947" s="67">
        <f t="shared" si="166"/>
        <v>150.20000000000002</v>
      </c>
      <c r="L947" s="66">
        <f t="shared" si="177"/>
        <v>0</v>
      </c>
      <c r="M947" s="67">
        <f t="shared" si="167"/>
        <v>150.20000000000002</v>
      </c>
      <c r="N947" s="66">
        <f t="shared" si="177"/>
        <v>0</v>
      </c>
      <c r="O947" s="67">
        <f t="shared" si="170"/>
        <v>150.20000000000002</v>
      </c>
    </row>
    <row r="948" spans="1:15" ht="33" x14ac:dyDescent="0.2">
      <c r="A948" s="64" t="str">
        <f ca="1">IF(ISERROR(MATCH(E948,Код_КЦСР,0)),"",INDIRECT(ADDRESS(MATCH(E948,Код_КЦСР,0)+1,2,,,"КЦСР")))</f>
        <v>Муниципальная программа «Развитие культуры и туризма в городе Череповце» на 2016 – 2022 годы</v>
      </c>
      <c r="B948" s="26">
        <v>808</v>
      </c>
      <c r="C948" s="65" t="s">
        <v>73</v>
      </c>
      <c r="D948" s="65" t="s">
        <v>61</v>
      </c>
      <c r="E948" s="26" t="s">
        <v>232</v>
      </c>
      <c r="F948" s="26"/>
      <c r="G948" s="66">
        <f>G949</f>
        <v>150.20000000000002</v>
      </c>
      <c r="H948" s="66">
        <f>H949</f>
        <v>0</v>
      </c>
      <c r="I948" s="67">
        <f t="shared" si="174"/>
        <v>150.20000000000002</v>
      </c>
      <c r="J948" s="66">
        <f>J949</f>
        <v>0</v>
      </c>
      <c r="K948" s="67">
        <f t="shared" si="166"/>
        <v>150.20000000000002</v>
      </c>
      <c r="L948" s="66">
        <f>L949</f>
        <v>0</v>
      </c>
      <c r="M948" s="67">
        <f t="shared" si="167"/>
        <v>150.20000000000002</v>
      </c>
      <c r="N948" s="66">
        <f>N949</f>
        <v>0</v>
      </c>
      <c r="O948" s="67">
        <f t="shared" si="170"/>
        <v>150.20000000000002</v>
      </c>
    </row>
    <row r="949" spans="1:15" x14ac:dyDescent="0.2">
      <c r="A949" s="64" t="str">
        <f ca="1">IF(ISERROR(MATCH(E949,Код_КЦСР,0)),"",INDIRECT(ADDRESS(MATCH(E949,Код_КЦСР,0)+1,2,,,"КЦСР")))</f>
        <v>Туризм</v>
      </c>
      <c r="B949" s="26">
        <v>808</v>
      </c>
      <c r="C949" s="65" t="s">
        <v>73</v>
      </c>
      <c r="D949" s="65" t="s">
        <v>61</v>
      </c>
      <c r="E949" s="26" t="s">
        <v>261</v>
      </c>
      <c r="F949" s="26"/>
      <c r="G949" s="66">
        <f>G953+G950</f>
        <v>150.20000000000002</v>
      </c>
      <c r="H949" s="66">
        <f>H953+H950</f>
        <v>0</v>
      </c>
      <c r="I949" s="67">
        <f t="shared" si="174"/>
        <v>150.20000000000002</v>
      </c>
      <c r="J949" s="66">
        <f>J953+J950</f>
        <v>0</v>
      </c>
      <c r="K949" s="67">
        <f t="shared" si="166"/>
        <v>150.20000000000002</v>
      </c>
      <c r="L949" s="66">
        <f>L953+L950</f>
        <v>0</v>
      </c>
      <c r="M949" s="67">
        <f t="shared" si="167"/>
        <v>150.20000000000002</v>
      </c>
      <c r="N949" s="66">
        <f>N953+N950</f>
        <v>0</v>
      </c>
      <c r="O949" s="67">
        <f t="shared" si="170"/>
        <v>150.20000000000002</v>
      </c>
    </row>
    <row r="950" spans="1:15" x14ac:dyDescent="0.2">
      <c r="A950" s="64" t="str">
        <f ca="1">IF(ISERROR(MATCH(E950,Код_КЦСР,0)),"",INDIRECT(ADDRESS(MATCH(E950,Код_КЦСР,0)+1,2,,,"КЦСР")))</f>
        <v xml:space="preserve">Продвижение городского туристического продукта на российском рынке </v>
      </c>
      <c r="B950" s="26">
        <v>808</v>
      </c>
      <c r="C950" s="65" t="s">
        <v>73</v>
      </c>
      <c r="D950" s="65" t="s">
        <v>61</v>
      </c>
      <c r="E950" s="26" t="s">
        <v>263</v>
      </c>
      <c r="F950" s="26"/>
      <c r="G950" s="66">
        <f>G951</f>
        <v>123.4</v>
      </c>
      <c r="H950" s="66">
        <f>H951</f>
        <v>0</v>
      </c>
      <c r="I950" s="67">
        <f t="shared" si="174"/>
        <v>123.4</v>
      </c>
      <c r="J950" s="66">
        <f>J951</f>
        <v>0</v>
      </c>
      <c r="K950" s="67">
        <f t="shared" si="166"/>
        <v>123.4</v>
      </c>
      <c r="L950" s="66">
        <f>L951</f>
        <v>0</v>
      </c>
      <c r="M950" s="67">
        <f t="shared" si="167"/>
        <v>123.4</v>
      </c>
      <c r="N950" s="66">
        <f>N951</f>
        <v>0</v>
      </c>
      <c r="O950" s="67">
        <f t="shared" si="170"/>
        <v>123.4</v>
      </c>
    </row>
    <row r="951" spans="1:15" ht="33" x14ac:dyDescent="0.2">
      <c r="A951" s="64" t="str">
        <f ca="1">IF(ISERROR(MATCH(F951,Код_КВР,0)),"",INDIRECT(ADDRESS(MATCH(F951,Код_КВР,0)+1,2,,,"КВР")))</f>
        <v>Предоставление субсидий бюджетным, автономным учреждениям и иным некоммерческим организациям</v>
      </c>
      <c r="B951" s="26">
        <v>808</v>
      </c>
      <c r="C951" s="65" t="s">
        <v>73</v>
      </c>
      <c r="D951" s="65" t="s">
        <v>61</v>
      </c>
      <c r="E951" s="26" t="s">
        <v>263</v>
      </c>
      <c r="F951" s="26">
        <v>600</v>
      </c>
      <c r="G951" s="66">
        <f>G952</f>
        <v>123.4</v>
      </c>
      <c r="H951" s="66">
        <f>H952</f>
        <v>0</v>
      </c>
      <c r="I951" s="67">
        <f t="shared" si="174"/>
        <v>123.4</v>
      </c>
      <c r="J951" s="66">
        <f>J952</f>
        <v>0</v>
      </c>
      <c r="K951" s="67">
        <f t="shared" si="166"/>
        <v>123.4</v>
      </c>
      <c r="L951" s="66">
        <f>L952</f>
        <v>0</v>
      </c>
      <c r="M951" s="67">
        <f t="shared" si="167"/>
        <v>123.4</v>
      </c>
      <c r="N951" s="66">
        <f>N952</f>
        <v>0</v>
      </c>
      <c r="O951" s="67">
        <f t="shared" si="170"/>
        <v>123.4</v>
      </c>
    </row>
    <row r="952" spans="1:15" x14ac:dyDescent="0.2">
      <c r="A952" s="64" t="str">
        <f ca="1">IF(ISERROR(MATCH(F952,Код_КВР,0)),"",INDIRECT(ADDRESS(MATCH(F952,Код_КВР,0)+1,2,,,"КВР")))</f>
        <v>Субсидии бюджетным учреждениям</v>
      </c>
      <c r="B952" s="26">
        <v>808</v>
      </c>
      <c r="C952" s="65" t="s">
        <v>73</v>
      </c>
      <c r="D952" s="65" t="s">
        <v>61</v>
      </c>
      <c r="E952" s="26" t="s">
        <v>263</v>
      </c>
      <c r="F952" s="26">
        <v>610</v>
      </c>
      <c r="G952" s="66">
        <v>123.4</v>
      </c>
      <c r="H952" s="66"/>
      <c r="I952" s="67">
        <f t="shared" si="174"/>
        <v>123.4</v>
      </c>
      <c r="J952" s="66"/>
      <c r="K952" s="67">
        <f t="shared" si="166"/>
        <v>123.4</v>
      </c>
      <c r="L952" s="66"/>
      <c r="M952" s="67">
        <f t="shared" si="167"/>
        <v>123.4</v>
      </c>
      <c r="N952" s="66"/>
      <c r="O952" s="67">
        <f t="shared" si="170"/>
        <v>123.4</v>
      </c>
    </row>
    <row r="953" spans="1:15" x14ac:dyDescent="0.2">
      <c r="A953" s="64" t="str">
        <f ca="1">IF(ISERROR(MATCH(E953,Код_КЦСР,0)),"",INDIRECT(ADDRESS(MATCH(E953,Код_КЦСР,0)+1,2,,,"КЦСР")))</f>
        <v>Развитие туристской, инженерной и транспортной инфраструктур</v>
      </c>
      <c r="B953" s="26">
        <v>808</v>
      </c>
      <c r="C953" s="65" t="s">
        <v>73</v>
      </c>
      <c r="D953" s="65" t="s">
        <v>61</v>
      </c>
      <c r="E953" s="26" t="s">
        <v>264</v>
      </c>
      <c r="F953" s="26"/>
      <c r="G953" s="66">
        <f t="shared" si="177"/>
        <v>26.8</v>
      </c>
      <c r="H953" s="66">
        <f t="shared" si="177"/>
        <v>0</v>
      </c>
      <c r="I953" s="67">
        <f t="shared" si="174"/>
        <v>26.8</v>
      </c>
      <c r="J953" s="66">
        <f t="shared" si="177"/>
        <v>0</v>
      </c>
      <c r="K953" s="67">
        <f t="shared" si="166"/>
        <v>26.8</v>
      </c>
      <c r="L953" s="66">
        <f t="shared" si="177"/>
        <v>0</v>
      </c>
      <c r="M953" s="67">
        <f t="shared" si="167"/>
        <v>26.8</v>
      </c>
      <c r="N953" s="66">
        <f t="shared" si="177"/>
        <v>0</v>
      </c>
      <c r="O953" s="67">
        <f t="shared" si="170"/>
        <v>26.8</v>
      </c>
    </row>
    <row r="954" spans="1:15" ht="33" x14ac:dyDescent="0.2">
      <c r="A954" s="64" t="str">
        <f ca="1">IF(ISERROR(MATCH(F954,Код_КВР,0)),"",INDIRECT(ADDRESS(MATCH(F954,Код_КВР,0)+1,2,,,"КВР")))</f>
        <v>Предоставление субсидий бюджетным, автономным учреждениям и иным некоммерческим организациям</v>
      </c>
      <c r="B954" s="26">
        <v>808</v>
      </c>
      <c r="C954" s="65" t="s">
        <v>73</v>
      </c>
      <c r="D954" s="65" t="s">
        <v>61</v>
      </c>
      <c r="E954" s="26" t="s">
        <v>264</v>
      </c>
      <c r="F954" s="26">
        <v>600</v>
      </c>
      <c r="G954" s="66">
        <f t="shared" si="177"/>
        <v>26.8</v>
      </c>
      <c r="H954" s="66">
        <f t="shared" si="177"/>
        <v>0</v>
      </c>
      <c r="I954" s="67">
        <f t="shared" si="174"/>
        <v>26.8</v>
      </c>
      <c r="J954" s="66">
        <f t="shared" si="177"/>
        <v>0</v>
      </c>
      <c r="K954" s="67">
        <f t="shared" si="166"/>
        <v>26.8</v>
      </c>
      <c r="L954" s="66">
        <f t="shared" si="177"/>
        <v>0</v>
      </c>
      <c r="M954" s="67">
        <f t="shared" si="167"/>
        <v>26.8</v>
      </c>
      <c r="N954" s="66">
        <f t="shared" si="177"/>
        <v>0</v>
      </c>
      <c r="O954" s="67">
        <f t="shared" si="170"/>
        <v>26.8</v>
      </c>
    </row>
    <row r="955" spans="1:15" x14ac:dyDescent="0.2">
      <c r="A955" s="64" t="str">
        <f ca="1">IF(ISERROR(MATCH(F955,Код_КВР,0)),"",INDIRECT(ADDRESS(MATCH(F955,Код_КВР,0)+1,2,,,"КВР")))</f>
        <v>Субсидии бюджетным учреждениям</v>
      </c>
      <c r="B955" s="26">
        <v>808</v>
      </c>
      <c r="C955" s="65" t="s">
        <v>73</v>
      </c>
      <c r="D955" s="65" t="s">
        <v>61</v>
      </c>
      <c r="E955" s="26" t="s">
        <v>264</v>
      </c>
      <c r="F955" s="26">
        <v>610</v>
      </c>
      <c r="G955" s="66">
        <v>26.8</v>
      </c>
      <c r="H955" s="66"/>
      <c r="I955" s="67">
        <f t="shared" si="174"/>
        <v>26.8</v>
      </c>
      <c r="J955" s="66"/>
      <c r="K955" s="67">
        <f t="shared" si="166"/>
        <v>26.8</v>
      </c>
      <c r="L955" s="66"/>
      <c r="M955" s="67">
        <f t="shared" si="167"/>
        <v>26.8</v>
      </c>
      <c r="N955" s="66"/>
      <c r="O955" s="67">
        <f t="shared" si="170"/>
        <v>26.8</v>
      </c>
    </row>
    <row r="956" spans="1:15" x14ac:dyDescent="0.2">
      <c r="A956" s="64" t="str">
        <f ca="1">IF(ISERROR(MATCH(C956,Код_Раздел,0)),"",INDIRECT(ADDRESS(MATCH(C956,Код_Раздел,0)+1,2,,,"Раздел")))</f>
        <v>Образование</v>
      </c>
      <c r="B956" s="26">
        <v>808</v>
      </c>
      <c r="C956" s="65" t="s">
        <v>60</v>
      </c>
      <c r="D956" s="65"/>
      <c r="E956" s="26"/>
      <c r="F956" s="26"/>
      <c r="G956" s="66">
        <f t="shared" ref="G956:N958" si="178">G957</f>
        <v>101850</v>
      </c>
      <c r="H956" s="66">
        <f t="shared" si="178"/>
        <v>0</v>
      </c>
      <c r="I956" s="67">
        <f t="shared" si="174"/>
        <v>101850</v>
      </c>
      <c r="J956" s="66">
        <f t="shared" si="178"/>
        <v>0</v>
      </c>
      <c r="K956" s="67">
        <f t="shared" si="166"/>
        <v>101850</v>
      </c>
      <c r="L956" s="66">
        <f t="shared" si="178"/>
        <v>0</v>
      </c>
      <c r="M956" s="67">
        <f t="shared" si="167"/>
        <v>101850</v>
      </c>
      <c r="N956" s="66">
        <f t="shared" si="178"/>
        <v>0</v>
      </c>
      <c r="O956" s="67">
        <f t="shared" si="170"/>
        <v>101850</v>
      </c>
    </row>
    <row r="957" spans="1:15" x14ac:dyDescent="0.2">
      <c r="A957" s="64" t="s">
        <v>465</v>
      </c>
      <c r="B957" s="26">
        <v>808</v>
      </c>
      <c r="C957" s="65" t="s">
        <v>60</v>
      </c>
      <c r="D957" s="65" t="s">
        <v>72</v>
      </c>
      <c r="E957" s="26"/>
      <c r="F957" s="26"/>
      <c r="G957" s="66">
        <f>G958+G969</f>
        <v>101850</v>
      </c>
      <c r="H957" s="66">
        <f>H958+H969</f>
        <v>0</v>
      </c>
      <c r="I957" s="67">
        <f t="shared" si="174"/>
        <v>101850</v>
      </c>
      <c r="J957" s="66">
        <f>J958+J969</f>
        <v>0</v>
      </c>
      <c r="K957" s="67">
        <f t="shared" si="166"/>
        <v>101850</v>
      </c>
      <c r="L957" s="66">
        <f>L958+L969</f>
        <v>0</v>
      </c>
      <c r="M957" s="67">
        <f t="shared" si="167"/>
        <v>101850</v>
      </c>
      <c r="N957" s="66">
        <f>N958+N969</f>
        <v>0</v>
      </c>
      <c r="O957" s="67">
        <f t="shared" si="170"/>
        <v>101850</v>
      </c>
    </row>
    <row r="958" spans="1:15" ht="33" x14ac:dyDescent="0.2">
      <c r="A958" s="64" t="str">
        <f ca="1">IF(ISERROR(MATCH(E958,Код_КЦСР,0)),"",INDIRECT(ADDRESS(MATCH(E958,Код_КЦСР,0)+1,2,,,"КЦСР")))</f>
        <v>Муниципальная программа «Развитие культуры и туризма в городе Череповце» на 2016 – 2022 годы</v>
      </c>
      <c r="B958" s="26">
        <v>808</v>
      </c>
      <c r="C958" s="65" t="s">
        <v>60</v>
      </c>
      <c r="D958" s="65" t="s">
        <v>72</v>
      </c>
      <c r="E958" s="26" t="s">
        <v>232</v>
      </c>
      <c r="F958" s="26"/>
      <c r="G958" s="66">
        <f t="shared" si="178"/>
        <v>101728.3</v>
      </c>
      <c r="H958" s="66">
        <f t="shared" si="178"/>
        <v>0</v>
      </c>
      <c r="I958" s="67">
        <f t="shared" si="174"/>
        <v>101728.3</v>
      </c>
      <c r="J958" s="66">
        <f t="shared" si="178"/>
        <v>0</v>
      </c>
      <c r="K958" s="67">
        <f t="shared" si="166"/>
        <v>101728.3</v>
      </c>
      <c r="L958" s="66">
        <f t="shared" si="178"/>
        <v>0</v>
      </c>
      <c r="M958" s="67">
        <f t="shared" si="167"/>
        <v>101728.3</v>
      </c>
      <c r="N958" s="66">
        <f t="shared" si="178"/>
        <v>0</v>
      </c>
      <c r="O958" s="67">
        <f t="shared" si="170"/>
        <v>101728.3</v>
      </c>
    </row>
    <row r="959" spans="1:15" x14ac:dyDescent="0.2">
      <c r="A959" s="64" t="str">
        <f ca="1">IF(ISERROR(MATCH(E959,Код_КЦСР,0)),"",INDIRECT(ADDRESS(MATCH(E959,Код_КЦСР,0)+1,2,,,"КЦСР")))</f>
        <v>Искусство</v>
      </c>
      <c r="B959" s="26">
        <v>808</v>
      </c>
      <c r="C959" s="65" t="s">
        <v>60</v>
      </c>
      <c r="D959" s="65" t="s">
        <v>72</v>
      </c>
      <c r="E959" s="26" t="s">
        <v>248</v>
      </c>
      <c r="F959" s="26"/>
      <c r="G959" s="66">
        <f>G960+G963+G966</f>
        <v>101728.3</v>
      </c>
      <c r="H959" s="66">
        <f>H960+H963+H966</f>
        <v>0</v>
      </c>
      <c r="I959" s="67">
        <f t="shared" si="174"/>
        <v>101728.3</v>
      </c>
      <c r="J959" s="66">
        <f>J960+J963+J966</f>
        <v>0</v>
      </c>
      <c r="K959" s="67">
        <f t="shared" si="166"/>
        <v>101728.3</v>
      </c>
      <c r="L959" s="66">
        <f>L960+L963+L966</f>
        <v>0</v>
      </c>
      <c r="M959" s="67">
        <f t="shared" si="167"/>
        <v>101728.3</v>
      </c>
      <c r="N959" s="66">
        <f>N960+N963+N966</f>
        <v>0</v>
      </c>
      <c r="O959" s="67">
        <f t="shared" si="170"/>
        <v>101728.3</v>
      </c>
    </row>
    <row r="960" spans="1:15" ht="49.5" x14ac:dyDescent="0.2">
      <c r="A960" s="64" t="str">
        <f ca="1">IF(ISERROR(MATCH(E960,Код_КЦСР,0)),"",INDIRECT(ADDRESS(MATCH(E960,Код_КЦСР,0)+1,2,,,"КЦСР")))</f>
        <v>Оказание муниципальной услуги в области предоставления обще-развивающих программ и обеспечение деятельности МБУ ДО «ДДиЮ «Дом Знаний»</v>
      </c>
      <c r="B960" s="26">
        <v>808</v>
      </c>
      <c r="C960" s="65" t="s">
        <v>60</v>
      </c>
      <c r="D960" s="65" t="s">
        <v>72</v>
      </c>
      <c r="E960" s="26" t="s">
        <v>252</v>
      </c>
      <c r="F960" s="26"/>
      <c r="G960" s="66">
        <f>G961</f>
        <v>43763.7</v>
      </c>
      <c r="H960" s="66">
        <f>H961</f>
        <v>0</v>
      </c>
      <c r="I960" s="67">
        <f t="shared" si="174"/>
        <v>43763.7</v>
      </c>
      <c r="J960" s="66">
        <f>J961</f>
        <v>0</v>
      </c>
      <c r="K960" s="67">
        <f t="shared" si="166"/>
        <v>43763.7</v>
      </c>
      <c r="L960" s="66">
        <f>L961</f>
        <v>0</v>
      </c>
      <c r="M960" s="67">
        <f t="shared" si="167"/>
        <v>43763.7</v>
      </c>
      <c r="N960" s="66">
        <f>N961</f>
        <v>0</v>
      </c>
      <c r="O960" s="67">
        <f t="shared" si="170"/>
        <v>43763.7</v>
      </c>
    </row>
    <row r="961" spans="1:15" ht="33" x14ac:dyDescent="0.2">
      <c r="A961" s="64" t="str">
        <f ca="1">IF(ISERROR(MATCH(F961,Код_КВР,0)),"",INDIRECT(ADDRESS(MATCH(F961,Код_КВР,0)+1,2,,,"КВР")))</f>
        <v>Предоставление субсидий бюджетным, автономным учреждениям и иным некоммерческим организациям</v>
      </c>
      <c r="B961" s="26">
        <v>808</v>
      </c>
      <c r="C961" s="65" t="s">
        <v>60</v>
      </c>
      <c r="D961" s="65" t="s">
        <v>72</v>
      </c>
      <c r="E961" s="26" t="s">
        <v>252</v>
      </c>
      <c r="F961" s="26">
        <v>600</v>
      </c>
      <c r="G961" s="66">
        <f t="shared" ref="G961:N961" si="179">G962</f>
        <v>43763.7</v>
      </c>
      <c r="H961" s="66">
        <f t="shared" si="179"/>
        <v>0</v>
      </c>
      <c r="I961" s="67">
        <f t="shared" si="174"/>
        <v>43763.7</v>
      </c>
      <c r="J961" s="66">
        <f t="shared" si="179"/>
        <v>0</v>
      </c>
      <c r="K961" s="67">
        <f t="shared" si="166"/>
        <v>43763.7</v>
      </c>
      <c r="L961" s="66">
        <f t="shared" si="179"/>
        <v>0</v>
      </c>
      <c r="M961" s="67">
        <f t="shared" si="167"/>
        <v>43763.7</v>
      </c>
      <c r="N961" s="66">
        <f t="shared" si="179"/>
        <v>0</v>
      </c>
      <c r="O961" s="67">
        <f t="shared" si="170"/>
        <v>43763.7</v>
      </c>
    </row>
    <row r="962" spans="1:15" x14ac:dyDescent="0.2">
      <c r="A962" s="64" t="str">
        <f ca="1">IF(ISERROR(MATCH(F962,Код_КВР,0)),"",INDIRECT(ADDRESS(MATCH(F962,Код_КВР,0)+1,2,,,"КВР")))</f>
        <v>Субсидии бюджетным учреждениям</v>
      </c>
      <c r="B962" s="26">
        <v>808</v>
      </c>
      <c r="C962" s="65" t="s">
        <v>60</v>
      </c>
      <c r="D962" s="65" t="s">
        <v>72</v>
      </c>
      <c r="E962" s="26" t="s">
        <v>252</v>
      </c>
      <c r="F962" s="26">
        <v>610</v>
      </c>
      <c r="G962" s="66">
        <v>43763.7</v>
      </c>
      <c r="H962" s="66"/>
      <c r="I962" s="67">
        <f t="shared" si="174"/>
        <v>43763.7</v>
      </c>
      <c r="J962" s="66"/>
      <c r="K962" s="67">
        <f t="shared" si="166"/>
        <v>43763.7</v>
      </c>
      <c r="L962" s="66"/>
      <c r="M962" s="67">
        <f t="shared" si="167"/>
        <v>43763.7</v>
      </c>
      <c r="N962" s="66"/>
      <c r="O962" s="67">
        <f t="shared" si="170"/>
        <v>43763.7</v>
      </c>
    </row>
    <row r="963" spans="1:15" ht="53.25" customHeight="1" x14ac:dyDescent="0.2">
      <c r="A963" s="64" t="str">
        <f ca="1">IF(ISERROR(MATCH(E963,Код_КЦСР,0)),"",INDIRECT(ADDRESS(MATCH(E963,Код_КЦСР,0)+1,2,,,"КЦСР")))</f>
        <v>Оказание муниципальной услуги в области предоставления предпрофессиональных программ и обеспечение деятельности школ искусств</v>
      </c>
      <c r="B963" s="26">
        <v>808</v>
      </c>
      <c r="C963" s="65" t="s">
        <v>60</v>
      </c>
      <c r="D963" s="65" t="s">
        <v>72</v>
      </c>
      <c r="E963" s="26" t="s">
        <v>253</v>
      </c>
      <c r="F963" s="26"/>
      <c r="G963" s="66">
        <f>G964</f>
        <v>57247.8</v>
      </c>
      <c r="H963" s="66">
        <f>H964</f>
        <v>0</v>
      </c>
      <c r="I963" s="67">
        <f t="shared" si="174"/>
        <v>57247.8</v>
      </c>
      <c r="J963" s="66">
        <f>J964</f>
        <v>0</v>
      </c>
      <c r="K963" s="67">
        <f t="shared" ref="K963:K1035" si="180">I963+J963</f>
        <v>57247.8</v>
      </c>
      <c r="L963" s="66">
        <f>L964</f>
        <v>0</v>
      </c>
      <c r="M963" s="67">
        <f t="shared" ref="M963:M1035" si="181">K963+L963</f>
        <v>57247.8</v>
      </c>
      <c r="N963" s="66">
        <f>N964</f>
        <v>0</v>
      </c>
      <c r="O963" s="67">
        <f t="shared" si="170"/>
        <v>57247.8</v>
      </c>
    </row>
    <row r="964" spans="1:15" ht="33" x14ac:dyDescent="0.2">
      <c r="A964" s="64" t="str">
        <f ca="1">IF(ISERROR(MATCH(F964,Код_КВР,0)),"",INDIRECT(ADDRESS(MATCH(F964,Код_КВР,0)+1,2,,,"КВР")))</f>
        <v>Предоставление субсидий бюджетным, автономным учреждениям и иным некоммерческим организациям</v>
      </c>
      <c r="B964" s="26">
        <v>808</v>
      </c>
      <c r="C964" s="65" t="s">
        <v>60</v>
      </c>
      <c r="D964" s="65" t="s">
        <v>72</v>
      </c>
      <c r="E964" s="26" t="s">
        <v>253</v>
      </c>
      <c r="F964" s="26">
        <v>600</v>
      </c>
      <c r="G964" s="66">
        <f>G965</f>
        <v>57247.8</v>
      </c>
      <c r="H964" s="66">
        <f>H965</f>
        <v>0</v>
      </c>
      <c r="I964" s="67">
        <f t="shared" si="174"/>
        <v>57247.8</v>
      </c>
      <c r="J964" s="66">
        <f>J965</f>
        <v>0</v>
      </c>
      <c r="K964" s="67">
        <f t="shared" si="180"/>
        <v>57247.8</v>
      </c>
      <c r="L964" s="66">
        <f>L965</f>
        <v>0</v>
      </c>
      <c r="M964" s="67">
        <f t="shared" si="181"/>
        <v>57247.8</v>
      </c>
      <c r="N964" s="66">
        <f>N965</f>
        <v>0</v>
      </c>
      <c r="O964" s="67">
        <f t="shared" si="170"/>
        <v>57247.8</v>
      </c>
    </row>
    <row r="965" spans="1:15" x14ac:dyDescent="0.2">
      <c r="A965" s="64" t="str">
        <f ca="1">IF(ISERROR(MATCH(F965,Код_КВР,0)),"",INDIRECT(ADDRESS(MATCH(F965,Код_КВР,0)+1,2,,,"КВР")))</f>
        <v>Субсидии бюджетным учреждениям</v>
      </c>
      <c r="B965" s="26">
        <v>808</v>
      </c>
      <c r="C965" s="65" t="s">
        <v>60</v>
      </c>
      <c r="D965" s="65" t="s">
        <v>72</v>
      </c>
      <c r="E965" s="26" t="s">
        <v>253</v>
      </c>
      <c r="F965" s="26">
        <v>610</v>
      </c>
      <c r="G965" s="66">
        <v>57247.8</v>
      </c>
      <c r="H965" s="66"/>
      <c r="I965" s="67">
        <f t="shared" si="174"/>
        <v>57247.8</v>
      </c>
      <c r="J965" s="66"/>
      <c r="K965" s="67">
        <f t="shared" si="180"/>
        <v>57247.8</v>
      </c>
      <c r="L965" s="66"/>
      <c r="M965" s="67">
        <f t="shared" si="181"/>
        <v>57247.8</v>
      </c>
      <c r="N965" s="66"/>
      <c r="O965" s="67">
        <f t="shared" si="170"/>
        <v>57247.8</v>
      </c>
    </row>
    <row r="966" spans="1:15" ht="33" x14ac:dyDescent="0.2">
      <c r="A966" s="64" t="str">
        <f ca="1">IF(ISERROR(MATCH(E966,Код_КЦСР,0)),"",INDIRECT(ADDRESS(MATCH(E966,Код_КЦСР,0)+1,2,,,"КЦСР")))</f>
        <v xml:space="preserve">Укрепление материально-технической базы учреждений дополнительного образования сферы искусства </v>
      </c>
      <c r="B966" s="26">
        <v>808</v>
      </c>
      <c r="C966" s="65" t="s">
        <v>60</v>
      </c>
      <c r="D966" s="65" t="s">
        <v>72</v>
      </c>
      <c r="E966" s="26" t="s">
        <v>442</v>
      </c>
      <c r="F966" s="26"/>
      <c r="G966" s="66">
        <f>G967</f>
        <v>716.8</v>
      </c>
      <c r="H966" s="66">
        <f>H967</f>
        <v>0</v>
      </c>
      <c r="I966" s="67">
        <f t="shared" si="174"/>
        <v>716.8</v>
      </c>
      <c r="J966" s="66">
        <f>J967</f>
        <v>0</v>
      </c>
      <c r="K966" s="67">
        <f t="shared" si="180"/>
        <v>716.8</v>
      </c>
      <c r="L966" s="66">
        <f>L967</f>
        <v>0</v>
      </c>
      <c r="M966" s="67">
        <f t="shared" si="181"/>
        <v>716.8</v>
      </c>
      <c r="N966" s="66">
        <f>N967</f>
        <v>0</v>
      </c>
      <c r="O966" s="67">
        <f t="shared" si="170"/>
        <v>716.8</v>
      </c>
    </row>
    <row r="967" spans="1:15" ht="33" x14ac:dyDescent="0.2">
      <c r="A967" s="64" t="str">
        <f ca="1">IF(ISERROR(MATCH(F967,Код_КВР,0)),"",INDIRECT(ADDRESS(MATCH(F967,Код_КВР,0)+1,2,,,"КВР")))</f>
        <v>Предоставление субсидий бюджетным, автономным учреждениям и иным некоммерческим организациям</v>
      </c>
      <c r="B967" s="26">
        <v>808</v>
      </c>
      <c r="C967" s="65" t="s">
        <v>60</v>
      </c>
      <c r="D967" s="65" t="s">
        <v>72</v>
      </c>
      <c r="E967" s="26" t="s">
        <v>442</v>
      </c>
      <c r="F967" s="26">
        <v>600</v>
      </c>
      <c r="G967" s="66">
        <f>G968</f>
        <v>716.8</v>
      </c>
      <c r="H967" s="66">
        <f>H968</f>
        <v>0</v>
      </c>
      <c r="I967" s="67">
        <f t="shared" si="174"/>
        <v>716.8</v>
      </c>
      <c r="J967" s="66">
        <f>J968</f>
        <v>0</v>
      </c>
      <c r="K967" s="67">
        <f t="shared" si="180"/>
        <v>716.8</v>
      </c>
      <c r="L967" s="66">
        <f>L968</f>
        <v>0</v>
      </c>
      <c r="M967" s="67">
        <f t="shared" si="181"/>
        <v>716.8</v>
      </c>
      <c r="N967" s="66">
        <f>N968</f>
        <v>0</v>
      </c>
      <c r="O967" s="67">
        <f t="shared" si="170"/>
        <v>716.8</v>
      </c>
    </row>
    <row r="968" spans="1:15" x14ac:dyDescent="0.2">
      <c r="A968" s="64" t="str">
        <f ca="1">IF(ISERROR(MATCH(F968,Код_КВР,0)),"",INDIRECT(ADDRESS(MATCH(F968,Код_КВР,0)+1,2,,,"КВР")))</f>
        <v>Субсидии бюджетным учреждениям</v>
      </c>
      <c r="B968" s="26">
        <v>808</v>
      </c>
      <c r="C968" s="65" t="s">
        <v>60</v>
      </c>
      <c r="D968" s="65" t="s">
        <v>72</v>
      </c>
      <c r="E968" s="26" t="s">
        <v>442</v>
      </c>
      <c r="F968" s="26">
        <v>610</v>
      </c>
      <c r="G968" s="66">
        <v>716.8</v>
      </c>
      <c r="H968" s="66"/>
      <c r="I968" s="67">
        <f t="shared" si="174"/>
        <v>716.8</v>
      </c>
      <c r="J968" s="66"/>
      <c r="K968" s="67">
        <f t="shared" si="180"/>
        <v>716.8</v>
      </c>
      <c r="L968" s="66"/>
      <c r="M968" s="67">
        <f t="shared" si="181"/>
        <v>716.8</v>
      </c>
      <c r="N968" s="66"/>
      <c r="O968" s="67">
        <f t="shared" si="170"/>
        <v>716.8</v>
      </c>
    </row>
    <row r="969" spans="1:15" ht="33" x14ac:dyDescent="0.2">
      <c r="A969" s="52" t="str">
        <f ca="1">IF(ISERROR(MATCH(E969,Код_КЦСР,0)),"",INDIRECT(ADDRESS(MATCH(E969,Код_КЦСР,0)+1,2,,,"КЦСР")))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969" s="25">
        <v>808</v>
      </c>
      <c r="C969" s="87" t="s">
        <v>60</v>
      </c>
      <c r="D969" s="87" t="s">
        <v>72</v>
      </c>
      <c r="E969" s="25" t="s">
        <v>369</v>
      </c>
      <c r="F969" s="25"/>
      <c r="G969" s="88">
        <f t="shared" ref="G969:N972" si="182">G970</f>
        <v>121.7</v>
      </c>
      <c r="H969" s="88">
        <f t="shared" si="182"/>
        <v>0</v>
      </c>
      <c r="I969" s="67">
        <f t="shared" si="174"/>
        <v>121.7</v>
      </c>
      <c r="J969" s="88">
        <f t="shared" si="182"/>
        <v>0</v>
      </c>
      <c r="K969" s="67">
        <f t="shared" si="180"/>
        <v>121.7</v>
      </c>
      <c r="L969" s="88">
        <f t="shared" si="182"/>
        <v>0</v>
      </c>
      <c r="M969" s="67">
        <f t="shared" si="181"/>
        <v>121.7</v>
      </c>
      <c r="N969" s="88">
        <f t="shared" si="182"/>
        <v>0</v>
      </c>
      <c r="O969" s="67">
        <f t="shared" si="170"/>
        <v>121.7</v>
      </c>
    </row>
    <row r="970" spans="1:15" x14ac:dyDescent="0.2">
      <c r="A970" s="52" t="str">
        <f ca="1">IF(ISERROR(MATCH(E970,Код_КЦСР,0)),"",INDIRECT(ADDRESS(MATCH(E970,Код_КЦСР,0)+1,2,,,"КЦСР")))</f>
        <v>Обеспечение пожарной безопасности муниципальных учреждений города</v>
      </c>
      <c r="B970" s="25">
        <v>808</v>
      </c>
      <c r="C970" s="87" t="s">
        <v>60</v>
      </c>
      <c r="D970" s="87" t="s">
        <v>72</v>
      </c>
      <c r="E970" s="25" t="s">
        <v>370</v>
      </c>
      <c r="F970" s="25"/>
      <c r="G970" s="88">
        <f t="shared" si="182"/>
        <v>121.7</v>
      </c>
      <c r="H970" s="88">
        <f t="shared" si="182"/>
        <v>0</v>
      </c>
      <c r="I970" s="67">
        <f t="shared" si="174"/>
        <v>121.7</v>
      </c>
      <c r="J970" s="88">
        <f t="shared" si="182"/>
        <v>0</v>
      </c>
      <c r="K970" s="67">
        <f t="shared" si="180"/>
        <v>121.7</v>
      </c>
      <c r="L970" s="88">
        <f t="shared" si="182"/>
        <v>0</v>
      </c>
      <c r="M970" s="67">
        <f t="shared" si="181"/>
        <v>121.7</v>
      </c>
      <c r="N970" s="88">
        <f t="shared" si="182"/>
        <v>0</v>
      </c>
      <c r="O970" s="67">
        <f t="shared" si="170"/>
        <v>121.7</v>
      </c>
    </row>
    <row r="971" spans="1:15" ht="33" x14ac:dyDescent="0.2">
      <c r="A971" s="52" t="str">
        <f ca="1">IF(ISERROR(MATCH(E971,Код_КЦСР,0)),"",INDIRECT(ADDRESS(MATCH(E971,Код_КЦСР,0)+1,2,,,"КЦСР")))</f>
        <v>Огнезащитная обработка деревянных и металлических конструкций зданий, декорации и одежды сцены. Проведение экспертизы</v>
      </c>
      <c r="B971" s="25">
        <v>808</v>
      </c>
      <c r="C971" s="87" t="s">
        <v>60</v>
      </c>
      <c r="D971" s="87" t="s">
        <v>72</v>
      </c>
      <c r="E971" s="25" t="s">
        <v>376</v>
      </c>
      <c r="F971" s="25"/>
      <c r="G971" s="88">
        <f t="shared" si="182"/>
        <v>121.7</v>
      </c>
      <c r="H971" s="88">
        <f t="shared" si="182"/>
        <v>0</v>
      </c>
      <c r="I971" s="67">
        <f t="shared" si="174"/>
        <v>121.7</v>
      </c>
      <c r="J971" s="88">
        <f t="shared" si="182"/>
        <v>0</v>
      </c>
      <c r="K971" s="67">
        <f t="shared" si="180"/>
        <v>121.7</v>
      </c>
      <c r="L971" s="88">
        <f t="shared" si="182"/>
        <v>0</v>
      </c>
      <c r="M971" s="67">
        <f t="shared" si="181"/>
        <v>121.7</v>
      </c>
      <c r="N971" s="88">
        <f t="shared" si="182"/>
        <v>0</v>
      </c>
      <c r="O971" s="67">
        <f t="shared" si="170"/>
        <v>121.7</v>
      </c>
    </row>
    <row r="972" spans="1:15" ht="33" x14ac:dyDescent="0.2">
      <c r="A972" s="52" t="str">
        <f ca="1">IF(ISERROR(MATCH(F972,Код_КВР,0)),"",INDIRECT(ADDRESS(MATCH(F972,Код_КВР,0)+1,2,,,"КВР")))</f>
        <v>Предоставление субсидий бюджетным, автономным учреждениям и иным некоммерческим организациям</v>
      </c>
      <c r="B972" s="25">
        <v>808</v>
      </c>
      <c r="C972" s="87" t="s">
        <v>60</v>
      </c>
      <c r="D972" s="87" t="s">
        <v>72</v>
      </c>
      <c r="E972" s="25" t="s">
        <v>376</v>
      </c>
      <c r="F972" s="25">
        <v>600</v>
      </c>
      <c r="G972" s="88">
        <f t="shared" si="182"/>
        <v>121.7</v>
      </c>
      <c r="H972" s="88">
        <f t="shared" si="182"/>
        <v>0</v>
      </c>
      <c r="I972" s="67">
        <f t="shared" si="174"/>
        <v>121.7</v>
      </c>
      <c r="J972" s="88">
        <f t="shared" si="182"/>
        <v>0</v>
      </c>
      <c r="K972" s="67">
        <f t="shared" si="180"/>
        <v>121.7</v>
      </c>
      <c r="L972" s="88">
        <f t="shared" si="182"/>
        <v>0</v>
      </c>
      <c r="M972" s="67">
        <f t="shared" si="181"/>
        <v>121.7</v>
      </c>
      <c r="N972" s="88">
        <f t="shared" si="182"/>
        <v>0</v>
      </c>
      <c r="O972" s="67">
        <f t="shared" si="170"/>
        <v>121.7</v>
      </c>
    </row>
    <row r="973" spans="1:15" x14ac:dyDescent="0.2">
      <c r="A973" s="52" t="str">
        <f ca="1">IF(ISERROR(MATCH(F973,Код_КВР,0)),"",INDIRECT(ADDRESS(MATCH(F973,Код_КВР,0)+1,2,,,"КВР")))</f>
        <v>Субсидии бюджетным учреждениям</v>
      </c>
      <c r="B973" s="25">
        <v>808</v>
      </c>
      <c r="C973" s="87" t="s">
        <v>60</v>
      </c>
      <c r="D973" s="87" t="s">
        <v>72</v>
      </c>
      <c r="E973" s="25" t="s">
        <v>376</v>
      </c>
      <c r="F973" s="25">
        <v>610</v>
      </c>
      <c r="G973" s="88">
        <v>121.7</v>
      </c>
      <c r="H973" s="88"/>
      <c r="I973" s="67">
        <f t="shared" si="174"/>
        <v>121.7</v>
      </c>
      <c r="J973" s="88"/>
      <c r="K973" s="67">
        <f t="shared" si="180"/>
        <v>121.7</v>
      </c>
      <c r="L973" s="88"/>
      <c r="M973" s="67">
        <f t="shared" si="181"/>
        <v>121.7</v>
      </c>
      <c r="N973" s="88"/>
      <c r="O973" s="67">
        <f t="shared" si="170"/>
        <v>121.7</v>
      </c>
    </row>
    <row r="974" spans="1:15" x14ac:dyDescent="0.2">
      <c r="A974" s="64" t="str">
        <f ca="1">IF(ISERROR(MATCH(C974,Код_Раздел,0)),"",INDIRECT(ADDRESS(MATCH(C974,Код_Раздел,0)+1,2,,,"Раздел")))</f>
        <v>Культура, кинематография</v>
      </c>
      <c r="B974" s="26">
        <v>808</v>
      </c>
      <c r="C974" s="65" t="s">
        <v>79</v>
      </c>
      <c r="D974" s="65"/>
      <c r="E974" s="26"/>
      <c r="F974" s="26"/>
      <c r="G974" s="66">
        <f>G975+G1036</f>
        <v>341021.39999999997</v>
      </c>
      <c r="H974" s="66">
        <f>H975+H1036</f>
        <v>0</v>
      </c>
      <c r="I974" s="67">
        <f t="shared" si="174"/>
        <v>341021.39999999997</v>
      </c>
      <c r="J974" s="66">
        <f>J975+J1036</f>
        <v>0</v>
      </c>
      <c r="K974" s="67">
        <f t="shared" si="180"/>
        <v>341021.39999999997</v>
      </c>
      <c r="L974" s="66">
        <f>L975+L1036</f>
        <v>1280.2000000000003</v>
      </c>
      <c r="M974" s="67">
        <f t="shared" si="181"/>
        <v>342301.6</v>
      </c>
      <c r="N974" s="66">
        <f>N975+N1036</f>
        <v>0</v>
      </c>
      <c r="O974" s="67">
        <f t="shared" si="170"/>
        <v>342301.6</v>
      </c>
    </row>
    <row r="975" spans="1:15" x14ac:dyDescent="0.2">
      <c r="A975" s="74" t="s">
        <v>49</v>
      </c>
      <c r="B975" s="26">
        <v>808</v>
      </c>
      <c r="C975" s="65" t="s">
        <v>79</v>
      </c>
      <c r="D975" s="65" t="s">
        <v>70</v>
      </c>
      <c r="E975" s="26"/>
      <c r="F975" s="26"/>
      <c r="G975" s="66">
        <f>G976+G1023+G1031</f>
        <v>273909.69999999995</v>
      </c>
      <c r="H975" s="66">
        <f>H976+H1023+H1031</f>
        <v>0</v>
      </c>
      <c r="I975" s="67">
        <f t="shared" si="174"/>
        <v>273909.69999999995</v>
      </c>
      <c r="J975" s="66">
        <f>J976+J1023+J1031</f>
        <v>0</v>
      </c>
      <c r="K975" s="67">
        <f t="shared" si="180"/>
        <v>273909.69999999995</v>
      </c>
      <c r="L975" s="66">
        <f>L976+L1023+L1031</f>
        <v>1839.3000000000002</v>
      </c>
      <c r="M975" s="67">
        <f t="shared" si="181"/>
        <v>275748.99999999994</v>
      </c>
      <c r="N975" s="66">
        <f>N976+N1023+N1031</f>
        <v>188</v>
      </c>
      <c r="O975" s="67">
        <f t="shared" si="170"/>
        <v>275936.99999999994</v>
      </c>
    </row>
    <row r="976" spans="1:15" ht="33" x14ac:dyDescent="0.2">
      <c r="A976" s="64" t="str">
        <f ca="1">IF(ISERROR(MATCH(E976,Код_КЦСР,0)),"",INDIRECT(ADDRESS(MATCH(E976,Код_КЦСР,0)+1,2,,,"КЦСР")))</f>
        <v>Муниципальная программа «Развитие культуры и туризма в городе Череповце» на 2016 – 2022 годы</v>
      </c>
      <c r="B976" s="26">
        <v>808</v>
      </c>
      <c r="C976" s="65" t="s">
        <v>79</v>
      </c>
      <c r="D976" s="65" t="s">
        <v>70</v>
      </c>
      <c r="E976" s="26" t="s">
        <v>232</v>
      </c>
      <c r="F976" s="26"/>
      <c r="G976" s="66">
        <f>G977+G1008+G1013</f>
        <v>273278.39999999997</v>
      </c>
      <c r="H976" s="66">
        <f>H977+H1008+H1013</f>
        <v>0</v>
      </c>
      <c r="I976" s="67">
        <f t="shared" si="174"/>
        <v>273278.39999999997</v>
      </c>
      <c r="J976" s="66">
        <f>J977+J1008+J1013</f>
        <v>0</v>
      </c>
      <c r="K976" s="67">
        <f t="shared" si="180"/>
        <v>273278.39999999997</v>
      </c>
      <c r="L976" s="66">
        <f>L977+L1008+L1013</f>
        <v>1839.3000000000002</v>
      </c>
      <c r="M976" s="67">
        <f t="shared" si="181"/>
        <v>275117.69999999995</v>
      </c>
      <c r="N976" s="66">
        <f>N977+N1008+N1013</f>
        <v>188</v>
      </c>
      <c r="O976" s="67">
        <f t="shared" si="170"/>
        <v>275305.69999999995</v>
      </c>
    </row>
    <row r="977" spans="1:15" x14ac:dyDescent="0.2">
      <c r="A977" s="64" t="str">
        <f ca="1">IF(ISERROR(MATCH(E977,Код_КЦСР,0)),"",INDIRECT(ADDRESS(MATCH(E977,Код_КЦСР,0)+1,2,,,"КЦСР")))</f>
        <v>Наследие</v>
      </c>
      <c r="B977" s="26">
        <v>808</v>
      </c>
      <c r="C977" s="65" t="s">
        <v>79</v>
      </c>
      <c r="D977" s="65" t="s">
        <v>70</v>
      </c>
      <c r="E977" s="26" t="s">
        <v>235</v>
      </c>
      <c r="F977" s="26"/>
      <c r="G977" s="66">
        <f>G978+G981+G984+G996+G999+G1002+G987</f>
        <v>113636.4</v>
      </c>
      <c r="H977" s="66">
        <f>H978+H981+H984+H996+H999+H1002+H987</f>
        <v>0</v>
      </c>
      <c r="I977" s="67">
        <f t="shared" si="174"/>
        <v>113636.4</v>
      </c>
      <c r="J977" s="66">
        <f>J978+J981+J984+J996+J999+J1002+J987</f>
        <v>0</v>
      </c>
      <c r="K977" s="67">
        <f t="shared" si="180"/>
        <v>113636.4</v>
      </c>
      <c r="L977" s="66">
        <f>L978+L981+L984+L996+L999+L1002+L987+L1005</f>
        <v>1476.3</v>
      </c>
      <c r="M977" s="67">
        <f t="shared" si="181"/>
        <v>115112.7</v>
      </c>
      <c r="N977" s="66">
        <f>N978+N981+N984+N996+N999+N1002+N987+N1005</f>
        <v>0</v>
      </c>
      <c r="O977" s="67">
        <f t="shared" si="170"/>
        <v>115112.7</v>
      </c>
    </row>
    <row r="978" spans="1:15" ht="49.5" x14ac:dyDescent="0.2">
      <c r="A978" s="64" t="str">
        <f ca="1">IF(ISERROR(MATCH(E978,Код_КЦСР,0)),"",INDIRECT(ADDRESS(MATCH(E978,Код_КЦСР,0)+1,2,,,"КЦСР")))</f>
        <v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v>
      </c>
      <c r="B978" s="26">
        <v>808</v>
      </c>
      <c r="C978" s="65" t="s">
        <v>79</v>
      </c>
      <c r="D978" s="65" t="s">
        <v>70</v>
      </c>
      <c r="E978" s="26" t="s">
        <v>236</v>
      </c>
      <c r="F978" s="26"/>
      <c r="G978" s="66">
        <f t="shared" ref="G978:N979" si="183">G979</f>
        <v>42593.599999999999</v>
      </c>
      <c r="H978" s="66">
        <f t="shared" si="183"/>
        <v>0</v>
      </c>
      <c r="I978" s="67">
        <f t="shared" si="174"/>
        <v>42593.599999999999</v>
      </c>
      <c r="J978" s="66">
        <f t="shared" si="183"/>
        <v>0</v>
      </c>
      <c r="K978" s="67">
        <f t="shared" si="180"/>
        <v>42593.599999999999</v>
      </c>
      <c r="L978" s="66">
        <f t="shared" si="183"/>
        <v>196.1</v>
      </c>
      <c r="M978" s="67">
        <f t="shared" si="181"/>
        <v>42789.7</v>
      </c>
      <c r="N978" s="66">
        <f t="shared" si="183"/>
        <v>0</v>
      </c>
      <c r="O978" s="67">
        <f t="shared" si="170"/>
        <v>42789.7</v>
      </c>
    </row>
    <row r="979" spans="1:15" ht="33" x14ac:dyDescent="0.2">
      <c r="A979" s="64" t="str">
        <f ca="1">IF(ISERROR(MATCH(F979,Код_КВР,0)),"",INDIRECT(ADDRESS(MATCH(F979,Код_КВР,0)+1,2,,,"КВР")))</f>
        <v>Предоставление субсидий бюджетным, автономным учреждениям и иным некоммерческим организациям</v>
      </c>
      <c r="B979" s="26">
        <v>808</v>
      </c>
      <c r="C979" s="65" t="s">
        <v>79</v>
      </c>
      <c r="D979" s="65" t="s">
        <v>70</v>
      </c>
      <c r="E979" s="26" t="s">
        <v>236</v>
      </c>
      <c r="F979" s="26">
        <v>600</v>
      </c>
      <c r="G979" s="66">
        <f t="shared" si="183"/>
        <v>42593.599999999999</v>
      </c>
      <c r="H979" s="66">
        <f t="shared" si="183"/>
        <v>0</v>
      </c>
      <c r="I979" s="67">
        <f t="shared" si="174"/>
        <v>42593.599999999999</v>
      </c>
      <c r="J979" s="66">
        <f t="shared" si="183"/>
        <v>0</v>
      </c>
      <c r="K979" s="67">
        <f t="shared" si="180"/>
        <v>42593.599999999999</v>
      </c>
      <c r="L979" s="66">
        <f t="shared" si="183"/>
        <v>196.1</v>
      </c>
      <c r="M979" s="67">
        <f t="shared" si="181"/>
        <v>42789.7</v>
      </c>
      <c r="N979" s="66">
        <f t="shared" si="183"/>
        <v>0</v>
      </c>
      <c r="O979" s="67">
        <f t="shared" ref="O979:O1042" si="184">M979+N979</f>
        <v>42789.7</v>
      </c>
    </row>
    <row r="980" spans="1:15" x14ac:dyDescent="0.2">
      <c r="A980" s="64" t="str">
        <f ca="1">IF(ISERROR(MATCH(F980,Код_КВР,0)),"",INDIRECT(ADDRESS(MATCH(F980,Код_КВР,0)+1,2,,,"КВР")))</f>
        <v>Субсидии бюджетным учреждениям</v>
      </c>
      <c r="B980" s="26">
        <v>808</v>
      </c>
      <c r="C980" s="65" t="s">
        <v>79</v>
      </c>
      <c r="D980" s="65" t="s">
        <v>70</v>
      </c>
      <c r="E980" s="26" t="s">
        <v>236</v>
      </c>
      <c r="F980" s="26">
        <v>610</v>
      </c>
      <c r="G980" s="66">
        <f>32840.2+6557.9+3195.5</f>
        <v>42593.599999999999</v>
      </c>
      <c r="H980" s="66"/>
      <c r="I980" s="67">
        <f t="shared" si="174"/>
        <v>42593.599999999999</v>
      </c>
      <c r="J980" s="66"/>
      <c r="K980" s="67">
        <f t="shared" si="180"/>
        <v>42593.599999999999</v>
      </c>
      <c r="L980" s="66">
        <v>196.1</v>
      </c>
      <c r="M980" s="67">
        <f t="shared" si="181"/>
        <v>42789.7</v>
      </c>
      <c r="N980" s="66"/>
      <c r="O980" s="67">
        <f t="shared" si="184"/>
        <v>42789.7</v>
      </c>
    </row>
    <row r="981" spans="1:15" ht="33" x14ac:dyDescent="0.2">
      <c r="A981" s="64" t="str">
        <f ca="1">IF(ISERROR(MATCH(E981,Код_КЦСР,0)),"",INDIRECT(ADDRESS(MATCH(E981,Код_КЦСР,0)+1,2,,,"КЦСР")))</f>
        <v>Осуществление реставрации и консервации музейных предметов, музейных коллекций</v>
      </c>
      <c r="B981" s="26">
        <v>808</v>
      </c>
      <c r="C981" s="65" t="s">
        <v>79</v>
      </c>
      <c r="D981" s="65" t="s">
        <v>70</v>
      </c>
      <c r="E981" s="26" t="s">
        <v>239</v>
      </c>
      <c r="F981" s="26"/>
      <c r="G981" s="66">
        <f t="shared" ref="G981:N982" si="185">G982</f>
        <v>2279.1999999999998</v>
      </c>
      <c r="H981" s="66">
        <f t="shared" si="185"/>
        <v>0</v>
      </c>
      <c r="I981" s="67">
        <f t="shared" si="174"/>
        <v>2279.1999999999998</v>
      </c>
      <c r="J981" s="66">
        <f t="shared" si="185"/>
        <v>0</v>
      </c>
      <c r="K981" s="67">
        <f t="shared" si="180"/>
        <v>2279.1999999999998</v>
      </c>
      <c r="L981" s="66">
        <f t="shared" si="185"/>
        <v>0</v>
      </c>
      <c r="M981" s="67">
        <f t="shared" si="181"/>
        <v>2279.1999999999998</v>
      </c>
      <c r="N981" s="66">
        <f t="shared" si="185"/>
        <v>0</v>
      </c>
      <c r="O981" s="67">
        <f t="shared" si="184"/>
        <v>2279.1999999999998</v>
      </c>
    </row>
    <row r="982" spans="1:15" ht="33" x14ac:dyDescent="0.2">
      <c r="A982" s="64" t="str">
        <f ca="1">IF(ISERROR(MATCH(F982,Код_КВР,0)),"",INDIRECT(ADDRESS(MATCH(F982,Код_КВР,0)+1,2,,,"КВР")))</f>
        <v>Предоставление субсидий бюджетным, автономным учреждениям и иным некоммерческим организациям</v>
      </c>
      <c r="B982" s="26">
        <v>808</v>
      </c>
      <c r="C982" s="65" t="s">
        <v>79</v>
      </c>
      <c r="D982" s="65" t="s">
        <v>70</v>
      </c>
      <c r="E982" s="26" t="s">
        <v>239</v>
      </c>
      <c r="F982" s="26">
        <v>600</v>
      </c>
      <c r="G982" s="66">
        <f t="shared" si="185"/>
        <v>2279.1999999999998</v>
      </c>
      <c r="H982" s="66">
        <f t="shared" si="185"/>
        <v>0</v>
      </c>
      <c r="I982" s="67">
        <f t="shared" si="174"/>
        <v>2279.1999999999998</v>
      </c>
      <c r="J982" s="66">
        <f t="shared" si="185"/>
        <v>0</v>
      </c>
      <c r="K982" s="67">
        <f t="shared" si="180"/>
        <v>2279.1999999999998</v>
      </c>
      <c r="L982" s="66">
        <f t="shared" si="185"/>
        <v>0</v>
      </c>
      <c r="M982" s="67">
        <f t="shared" si="181"/>
        <v>2279.1999999999998</v>
      </c>
      <c r="N982" s="66">
        <f t="shared" si="185"/>
        <v>0</v>
      </c>
      <c r="O982" s="67">
        <f t="shared" si="184"/>
        <v>2279.1999999999998</v>
      </c>
    </row>
    <row r="983" spans="1:15" x14ac:dyDescent="0.2">
      <c r="A983" s="64" t="str">
        <f ca="1">IF(ISERROR(MATCH(F983,Код_КВР,0)),"",INDIRECT(ADDRESS(MATCH(F983,Код_КВР,0)+1,2,,,"КВР")))</f>
        <v>Субсидии бюджетным учреждениям</v>
      </c>
      <c r="B983" s="26">
        <v>808</v>
      </c>
      <c r="C983" s="65" t="s">
        <v>79</v>
      </c>
      <c r="D983" s="65" t="s">
        <v>70</v>
      </c>
      <c r="E983" s="26" t="s">
        <v>239</v>
      </c>
      <c r="F983" s="26">
        <v>610</v>
      </c>
      <c r="G983" s="66">
        <f>2109.1+170.1</f>
        <v>2279.1999999999998</v>
      </c>
      <c r="H983" s="66"/>
      <c r="I983" s="67">
        <f t="shared" si="174"/>
        <v>2279.1999999999998</v>
      </c>
      <c r="J983" s="66"/>
      <c r="K983" s="67">
        <f t="shared" si="180"/>
        <v>2279.1999999999998</v>
      </c>
      <c r="L983" s="66"/>
      <c r="M983" s="67">
        <f t="shared" si="181"/>
        <v>2279.1999999999998</v>
      </c>
      <c r="N983" s="66"/>
      <c r="O983" s="67">
        <f t="shared" si="184"/>
        <v>2279.1999999999998</v>
      </c>
    </row>
    <row r="984" spans="1:15" ht="33" x14ac:dyDescent="0.2">
      <c r="A984" s="64" t="str">
        <f ca="1">IF(ISERROR(MATCH(E984,Код_КЦСР,0)),"",INDIRECT(ADDRESS(MATCH(E984,Код_КЦСР,0)+1,2,,,"КЦСР")))</f>
        <v>Формирование, учет, изучение, обеспечение физического сохранения и безопасности музейных предметов, музейных коллекций</v>
      </c>
      <c r="B984" s="26">
        <v>808</v>
      </c>
      <c r="C984" s="65" t="s">
        <v>79</v>
      </c>
      <c r="D984" s="65" t="s">
        <v>70</v>
      </c>
      <c r="E984" s="26" t="s">
        <v>240</v>
      </c>
      <c r="F984" s="26"/>
      <c r="G984" s="66">
        <f t="shared" ref="G984:N985" si="186">G985</f>
        <v>5349.8</v>
      </c>
      <c r="H984" s="66">
        <f t="shared" si="186"/>
        <v>0</v>
      </c>
      <c r="I984" s="67">
        <f t="shared" si="174"/>
        <v>5349.8</v>
      </c>
      <c r="J984" s="66">
        <f t="shared" si="186"/>
        <v>0</v>
      </c>
      <c r="K984" s="67">
        <f t="shared" si="180"/>
        <v>5349.8</v>
      </c>
      <c r="L984" s="66">
        <f t="shared" si="186"/>
        <v>0</v>
      </c>
      <c r="M984" s="67">
        <f t="shared" si="181"/>
        <v>5349.8</v>
      </c>
      <c r="N984" s="66">
        <f t="shared" si="186"/>
        <v>0</v>
      </c>
      <c r="O984" s="67">
        <f t="shared" si="184"/>
        <v>5349.8</v>
      </c>
    </row>
    <row r="985" spans="1:15" ht="33" x14ac:dyDescent="0.2">
      <c r="A985" s="64" t="str">
        <f ca="1">IF(ISERROR(MATCH(F985,Код_КВР,0)),"",INDIRECT(ADDRESS(MATCH(F985,Код_КВР,0)+1,2,,,"КВР")))</f>
        <v>Предоставление субсидий бюджетным, автономным учреждениям и иным некоммерческим организациям</v>
      </c>
      <c r="B985" s="26">
        <v>808</v>
      </c>
      <c r="C985" s="65" t="s">
        <v>79</v>
      </c>
      <c r="D985" s="65" t="s">
        <v>70</v>
      </c>
      <c r="E985" s="26" t="s">
        <v>240</v>
      </c>
      <c r="F985" s="26">
        <v>600</v>
      </c>
      <c r="G985" s="66">
        <f t="shared" si="186"/>
        <v>5349.8</v>
      </c>
      <c r="H985" s="66">
        <f t="shared" si="186"/>
        <v>0</v>
      </c>
      <c r="I985" s="67">
        <f t="shared" si="174"/>
        <v>5349.8</v>
      </c>
      <c r="J985" s="66">
        <f t="shared" si="186"/>
        <v>0</v>
      </c>
      <c r="K985" s="67">
        <f t="shared" si="180"/>
        <v>5349.8</v>
      </c>
      <c r="L985" s="66">
        <f t="shared" si="186"/>
        <v>0</v>
      </c>
      <c r="M985" s="67">
        <f t="shared" si="181"/>
        <v>5349.8</v>
      </c>
      <c r="N985" s="66">
        <f t="shared" si="186"/>
        <v>0</v>
      </c>
      <c r="O985" s="67">
        <f t="shared" si="184"/>
        <v>5349.8</v>
      </c>
    </row>
    <row r="986" spans="1:15" x14ac:dyDescent="0.2">
      <c r="A986" s="64" t="str">
        <f ca="1">IF(ISERROR(MATCH(F986,Код_КВР,0)),"",INDIRECT(ADDRESS(MATCH(F986,Код_КВР,0)+1,2,,,"КВР")))</f>
        <v>Субсидии бюджетным учреждениям</v>
      </c>
      <c r="B986" s="26">
        <v>808</v>
      </c>
      <c r="C986" s="65" t="s">
        <v>79</v>
      </c>
      <c r="D986" s="65" t="s">
        <v>70</v>
      </c>
      <c r="E986" s="26" t="s">
        <v>240</v>
      </c>
      <c r="F986" s="26">
        <v>610</v>
      </c>
      <c r="G986" s="66">
        <v>5349.8</v>
      </c>
      <c r="H986" s="66"/>
      <c r="I986" s="67">
        <f t="shared" si="174"/>
        <v>5349.8</v>
      </c>
      <c r="J986" s="66"/>
      <c r="K986" s="67">
        <f t="shared" si="180"/>
        <v>5349.8</v>
      </c>
      <c r="L986" s="66"/>
      <c r="M986" s="67">
        <f t="shared" si="181"/>
        <v>5349.8</v>
      </c>
      <c r="N986" s="66"/>
      <c r="O986" s="67">
        <f t="shared" si="184"/>
        <v>5349.8</v>
      </c>
    </row>
    <row r="987" spans="1:15" x14ac:dyDescent="0.2">
      <c r="A987" s="64" t="str">
        <f ca="1">IF(ISERROR(MATCH(E987,Код_КЦСР,0)),"",INDIRECT(ADDRESS(MATCH(E987,Код_КЦСР,0)+1,2,,,"КЦСР")))</f>
        <v>Развитие музейного дела</v>
      </c>
      <c r="B987" s="26">
        <v>808</v>
      </c>
      <c r="C987" s="65" t="s">
        <v>79</v>
      </c>
      <c r="D987" s="65" t="s">
        <v>70</v>
      </c>
      <c r="E987" s="26" t="s">
        <v>520</v>
      </c>
      <c r="F987" s="26"/>
      <c r="G987" s="66">
        <f>G988</f>
        <v>929</v>
      </c>
      <c r="H987" s="66">
        <f>H988</f>
        <v>0</v>
      </c>
      <c r="I987" s="67">
        <f t="shared" si="174"/>
        <v>929</v>
      </c>
      <c r="J987" s="66">
        <f>J988</f>
        <v>0</v>
      </c>
      <c r="K987" s="67">
        <f>K988</f>
        <v>929</v>
      </c>
      <c r="L987" s="66">
        <f>L988+L990+L993</f>
        <v>150</v>
      </c>
      <c r="M987" s="67">
        <f t="shared" si="181"/>
        <v>1079</v>
      </c>
      <c r="N987" s="66">
        <f>N988+N990+N993</f>
        <v>0</v>
      </c>
      <c r="O987" s="67">
        <f t="shared" si="184"/>
        <v>1079</v>
      </c>
    </row>
    <row r="988" spans="1:15" ht="33" hidden="1" x14ac:dyDescent="0.2">
      <c r="A988" s="64" t="str">
        <f ca="1">IF(ISERROR(MATCH(F988,Код_КВР,0)),"",INDIRECT(ADDRESS(MATCH(F988,Код_КВР,0)+1,2,,,"КВР")))</f>
        <v>Предоставление субсидий бюджетным, автономным учреждениям и иным некоммерческим организациям</v>
      </c>
      <c r="B988" s="26">
        <v>808</v>
      </c>
      <c r="C988" s="65" t="s">
        <v>79</v>
      </c>
      <c r="D988" s="65" t="s">
        <v>70</v>
      </c>
      <c r="E988" s="26" t="s">
        <v>520</v>
      </c>
      <c r="F988" s="26">
        <v>600</v>
      </c>
      <c r="G988" s="66">
        <f>G989</f>
        <v>929</v>
      </c>
      <c r="H988" s="66">
        <f>H989</f>
        <v>0</v>
      </c>
      <c r="I988" s="67">
        <f t="shared" si="174"/>
        <v>929</v>
      </c>
      <c r="J988" s="66">
        <f>J989</f>
        <v>0</v>
      </c>
      <c r="K988" s="67">
        <f t="shared" si="180"/>
        <v>929</v>
      </c>
      <c r="L988" s="66">
        <f>L989</f>
        <v>-929</v>
      </c>
      <c r="M988" s="67">
        <f t="shared" si="181"/>
        <v>0</v>
      </c>
      <c r="N988" s="66">
        <f>N989</f>
        <v>0</v>
      </c>
      <c r="O988" s="67">
        <f t="shared" si="184"/>
        <v>0</v>
      </c>
    </row>
    <row r="989" spans="1:15" hidden="1" x14ac:dyDescent="0.2">
      <c r="A989" s="64" t="str">
        <f ca="1">IF(ISERROR(MATCH(F989,Код_КВР,0)),"",INDIRECT(ADDRESS(MATCH(F989,Код_КВР,0)+1,2,,,"КВР")))</f>
        <v>Субсидии бюджетным учреждениям</v>
      </c>
      <c r="B989" s="26">
        <v>808</v>
      </c>
      <c r="C989" s="65" t="s">
        <v>79</v>
      </c>
      <c r="D989" s="65" t="s">
        <v>70</v>
      </c>
      <c r="E989" s="26" t="s">
        <v>520</v>
      </c>
      <c r="F989" s="26">
        <v>610</v>
      </c>
      <c r="G989" s="66">
        <v>929</v>
      </c>
      <c r="H989" s="66"/>
      <c r="I989" s="67">
        <f t="shared" si="174"/>
        <v>929</v>
      </c>
      <c r="J989" s="66"/>
      <c r="K989" s="67">
        <f t="shared" si="180"/>
        <v>929</v>
      </c>
      <c r="L989" s="66">
        <v>-929</v>
      </c>
      <c r="M989" s="67">
        <f t="shared" si="181"/>
        <v>0</v>
      </c>
      <c r="N989" s="66"/>
      <c r="O989" s="67">
        <f t="shared" si="184"/>
        <v>0</v>
      </c>
    </row>
    <row r="990" spans="1:15" x14ac:dyDescent="0.2">
      <c r="A990" s="64" t="str">
        <f ca="1">IF(ISERROR(MATCH(E990,Код_КЦСР,0)),"",INDIRECT(ADDRESS(MATCH(E990,Код_КЦСР,0)+1,2,,,"КЦСР")))</f>
        <v>Развитие музейного дела, за счет средств городского бюджета</v>
      </c>
      <c r="B990" s="26">
        <v>808</v>
      </c>
      <c r="C990" s="65" t="s">
        <v>79</v>
      </c>
      <c r="D990" s="65" t="s">
        <v>70</v>
      </c>
      <c r="E990" s="26" t="s">
        <v>697</v>
      </c>
      <c r="F990" s="26"/>
      <c r="G990" s="66"/>
      <c r="H990" s="66"/>
      <c r="I990" s="67"/>
      <c r="J990" s="66"/>
      <c r="K990" s="67"/>
      <c r="L990" s="66">
        <f>L991</f>
        <v>929</v>
      </c>
      <c r="M990" s="67">
        <f t="shared" si="181"/>
        <v>929</v>
      </c>
      <c r="N990" s="66">
        <f>N991</f>
        <v>0</v>
      </c>
      <c r="O990" s="67">
        <f t="shared" si="184"/>
        <v>929</v>
      </c>
    </row>
    <row r="991" spans="1:15" ht="33" x14ac:dyDescent="0.2">
      <c r="A991" s="64" t="str">
        <f ca="1">IF(ISERROR(MATCH(F991,Код_КВР,0)),"",INDIRECT(ADDRESS(MATCH(F991,Код_КВР,0)+1,2,,,"КВР")))</f>
        <v>Предоставление субсидий бюджетным, автономным учреждениям и иным некоммерческим организациям</v>
      </c>
      <c r="B991" s="26">
        <v>808</v>
      </c>
      <c r="C991" s="65" t="s">
        <v>79</v>
      </c>
      <c r="D991" s="65" t="s">
        <v>70</v>
      </c>
      <c r="E991" s="26" t="s">
        <v>697</v>
      </c>
      <c r="F991" s="26">
        <v>600</v>
      </c>
      <c r="G991" s="66"/>
      <c r="H991" s="66"/>
      <c r="I991" s="67"/>
      <c r="J991" s="66"/>
      <c r="K991" s="67"/>
      <c r="L991" s="66">
        <f>L992</f>
        <v>929</v>
      </c>
      <c r="M991" s="67">
        <f t="shared" si="181"/>
        <v>929</v>
      </c>
      <c r="N991" s="66">
        <f>N992</f>
        <v>0</v>
      </c>
      <c r="O991" s="67">
        <f t="shared" si="184"/>
        <v>929</v>
      </c>
    </row>
    <row r="992" spans="1:15" x14ac:dyDescent="0.2">
      <c r="A992" s="64" t="str">
        <f ca="1">IF(ISERROR(MATCH(F992,Код_КВР,0)),"",INDIRECT(ADDRESS(MATCH(F992,Код_КВР,0)+1,2,,,"КВР")))</f>
        <v>Субсидии бюджетным учреждениям</v>
      </c>
      <c r="B992" s="26">
        <v>808</v>
      </c>
      <c r="C992" s="65" t="s">
        <v>79</v>
      </c>
      <c r="D992" s="65" t="s">
        <v>70</v>
      </c>
      <c r="E992" s="26" t="s">
        <v>697</v>
      </c>
      <c r="F992" s="26">
        <v>610</v>
      </c>
      <c r="G992" s="66"/>
      <c r="H992" s="66"/>
      <c r="I992" s="67"/>
      <c r="J992" s="66"/>
      <c r="K992" s="67"/>
      <c r="L992" s="66">
        <v>929</v>
      </c>
      <c r="M992" s="67">
        <f t="shared" si="181"/>
        <v>929</v>
      </c>
      <c r="N992" s="66"/>
      <c r="O992" s="67">
        <f t="shared" si="184"/>
        <v>929</v>
      </c>
    </row>
    <row r="993" spans="1:15" ht="33" x14ac:dyDescent="0.2">
      <c r="A993" s="64" t="str">
        <f ca="1">IF(ISERROR(MATCH(E993,Код_КЦСР,0)),"",INDIRECT(ADDRESS(MATCH(E993,Код_КЦСР,0)+1,2,,,"КЦСР")))</f>
        <v>Иные межбюджетные трансферты на предоставление государственных грантов в сфере культуры, за счет средств областного бюджета</v>
      </c>
      <c r="B993" s="26">
        <v>808</v>
      </c>
      <c r="C993" s="65" t="s">
        <v>79</v>
      </c>
      <c r="D993" s="65" t="s">
        <v>70</v>
      </c>
      <c r="E993" s="26" t="s">
        <v>699</v>
      </c>
      <c r="F993" s="26"/>
      <c r="G993" s="66"/>
      <c r="H993" s="66"/>
      <c r="I993" s="67"/>
      <c r="J993" s="66"/>
      <c r="K993" s="67"/>
      <c r="L993" s="66">
        <f>L994</f>
        <v>150</v>
      </c>
      <c r="M993" s="67">
        <f t="shared" si="181"/>
        <v>150</v>
      </c>
      <c r="N993" s="66">
        <f>N994</f>
        <v>0</v>
      </c>
      <c r="O993" s="67">
        <f t="shared" si="184"/>
        <v>150</v>
      </c>
    </row>
    <row r="994" spans="1:15" ht="33" x14ac:dyDescent="0.2">
      <c r="A994" s="64" t="str">
        <f ca="1">IF(ISERROR(MATCH(F994,Код_КВР,0)),"",INDIRECT(ADDRESS(MATCH(F994,Код_КВР,0)+1,2,,,"КВР")))</f>
        <v>Предоставление субсидий бюджетным, автономным учреждениям и иным некоммерческим организациям</v>
      </c>
      <c r="B994" s="26">
        <v>808</v>
      </c>
      <c r="C994" s="65" t="s">
        <v>79</v>
      </c>
      <c r="D994" s="65" t="s">
        <v>70</v>
      </c>
      <c r="E994" s="26" t="s">
        <v>699</v>
      </c>
      <c r="F994" s="26">
        <v>600</v>
      </c>
      <c r="G994" s="138"/>
      <c r="H994" s="138"/>
      <c r="I994" s="139"/>
      <c r="J994" s="138"/>
      <c r="K994" s="89"/>
      <c r="L994" s="88">
        <f>L995</f>
        <v>150</v>
      </c>
      <c r="M994" s="67">
        <f t="shared" si="181"/>
        <v>150</v>
      </c>
      <c r="N994" s="88">
        <f>N995</f>
        <v>0</v>
      </c>
      <c r="O994" s="67">
        <f t="shared" si="184"/>
        <v>150</v>
      </c>
    </row>
    <row r="995" spans="1:15" x14ac:dyDescent="0.2">
      <c r="A995" s="64" t="str">
        <f ca="1">IF(ISERROR(MATCH(F995,Код_КВР,0)),"",INDIRECT(ADDRESS(MATCH(F995,Код_КВР,0)+1,2,,,"КВР")))</f>
        <v>Субсидии бюджетным учреждениям</v>
      </c>
      <c r="B995" s="26">
        <v>808</v>
      </c>
      <c r="C995" s="65" t="s">
        <v>79</v>
      </c>
      <c r="D995" s="65" t="s">
        <v>70</v>
      </c>
      <c r="E995" s="26" t="s">
        <v>699</v>
      </c>
      <c r="F995" s="26">
        <v>610</v>
      </c>
      <c r="G995" s="138"/>
      <c r="H995" s="138"/>
      <c r="I995" s="139"/>
      <c r="J995" s="138"/>
      <c r="K995" s="89"/>
      <c r="L995" s="88">
        <v>150</v>
      </c>
      <c r="M995" s="67">
        <f t="shared" si="181"/>
        <v>150</v>
      </c>
      <c r="N995" s="88"/>
      <c r="O995" s="67">
        <f t="shared" si="184"/>
        <v>150</v>
      </c>
    </row>
    <row r="996" spans="1:15" ht="49.5" x14ac:dyDescent="0.2">
      <c r="A996" s="64" t="str">
        <f ca="1">IF(ISERROR(MATCH(E996,Код_КЦСР,0)),"",INDIRECT(ADDRESS(MATCH(E996,Код_КЦСР,0)+1,2,,,"КЦСР")))</f>
        <v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v>
      </c>
      <c r="B996" s="26">
        <v>808</v>
      </c>
      <c r="C996" s="65" t="s">
        <v>79</v>
      </c>
      <c r="D996" s="65" t="s">
        <v>70</v>
      </c>
      <c r="E996" s="26" t="s">
        <v>242</v>
      </c>
      <c r="F996" s="26"/>
      <c r="G996" s="66">
        <f t="shared" ref="G996:N997" si="187">G997</f>
        <v>52086.3</v>
      </c>
      <c r="H996" s="66">
        <f t="shared" si="187"/>
        <v>0</v>
      </c>
      <c r="I996" s="67">
        <f t="shared" si="174"/>
        <v>52086.3</v>
      </c>
      <c r="J996" s="66">
        <f t="shared" si="187"/>
        <v>0</v>
      </c>
      <c r="K996" s="67">
        <f t="shared" si="180"/>
        <v>52086.3</v>
      </c>
      <c r="L996" s="66">
        <f t="shared" si="187"/>
        <v>648.09999999999991</v>
      </c>
      <c r="M996" s="67">
        <f t="shared" si="181"/>
        <v>52734.400000000001</v>
      </c>
      <c r="N996" s="66">
        <f t="shared" si="187"/>
        <v>0</v>
      </c>
      <c r="O996" s="67">
        <f t="shared" si="184"/>
        <v>52734.400000000001</v>
      </c>
    </row>
    <row r="997" spans="1:15" ht="33" x14ac:dyDescent="0.2">
      <c r="A997" s="64" t="str">
        <f ca="1">IF(ISERROR(MATCH(F997,Код_КВР,0)),"",INDIRECT(ADDRESS(MATCH(F997,Код_КВР,0)+1,2,,,"КВР")))</f>
        <v>Предоставление субсидий бюджетным, автономным учреждениям и иным некоммерческим организациям</v>
      </c>
      <c r="B997" s="26">
        <v>808</v>
      </c>
      <c r="C997" s="65" t="s">
        <v>79</v>
      </c>
      <c r="D997" s="65" t="s">
        <v>70</v>
      </c>
      <c r="E997" s="26" t="s">
        <v>242</v>
      </c>
      <c r="F997" s="26">
        <v>600</v>
      </c>
      <c r="G997" s="66">
        <f t="shared" si="187"/>
        <v>52086.3</v>
      </c>
      <c r="H997" s="66">
        <f t="shared" si="187"/>
        <v>0</v>
      </c>
      <c r="I997" s="67">
        <f t="shared" si="174"/>
        <v>52086.3</v>
      </c>
      <c r="J997" s="66">
        <f t="shared" si="187"/>
        <v>0</v>
      </c>
      <c r="K997" s="67">
        <f t="shared" si="180"/>
        <v>52086.3</v>
      </c>
      <c r="L997" s="66">
        <f t="shared" si="187"/>
        <v>648.09999999999991</v>
      </c>
      <c r="M997" s="67">
        <f t="shared" si="181"/>
        <v>52734.400000000001</v>
      </c>
      <c r="N997" s="66">
        <f t="shared" si="187"/>
        <v>0</v>
      </c>
      <c r="O997" s="67">
        <f t="shared" si="184"/>
        <v>52734.400000000001</v>
      </c>
    </row>
    <row r="998" spans="1:15" x14ac:dyDescent="0.2">
      <c r="A998" s="64" t="str">
        <f ca="1">IF(ISERROR(MATCH(F998,Код_КВР,0)),"",INDIRECT(ADDRESS(MATCH(F998,Код_КВР,0)+1,2,,,"КВР")))</f>
        <v>Субсидии бюджетным учреждениям</v>
      </c>
      <c r="B998" s="26">
        <v>808</v>
      </c>
      <c r="C998" s="65" t="s">
        <v>79</v>
      </c>
      <c r="D998" s="65" t="s">
        <v>70</v>
      </c>
      <c r="E998" s="26" t="s">
        <v>242</v>
      </c>
      <c r="F998" s="26">
        <v>610</v>
      </c>
      <c r="G998" s="66">
        <v>52086.3</v>
      </c>
      <c r="H998" s="66"/>
      <c r="I998" s="67">
        <f t="shared" si="174"/>
        <v>52086.3</v>
      </c>
      <c r="J998" s="66"/>
      <c r="K998" s="67">
        <f t="shared" si="180"/>
        <v>52086.3</v>
      </c>
      <c r="L998" s="66">
        <f>100+489.3+58.8</f>
        <v>648.09999999999991</v>
      </c>
      <c r="M998" s="67">
        <f t="shared" si="181"/>
        <v>52734.400000000001</v>
      </c>
      <c r="N998" s="66"/>
      <c r="O998" s="67">
        <f t="shared" si="184"/>
        <v>52734.400000000001</v>
      </c>
    </row>
    <row r="999" spans="1:15" x14ac:dyDescent="0.2">
      <c r="A999" s="64" t="str">
        <f ca="1">IF(ISERROR(MATCH(E999,Код_КЦСР,0)),"",INDIRECT(ADDRESS(MATCH(E999,Код_КЦСР,0)+1,2,,,"КЦСР")))</f>
        <v>Библиографическая обработка документов и создание каталогов</v>
      </c>
      <c r="B999" s="26">
        <v>808</v>
      </c>
      <c r="C999" s="65" t="s">
        <v>79</v>
      </c>
      <c r="D999" s="65" t="s">
        <v>70</v>
      </c>
      <c r="E999" s="26" t="s">
        <v>244</v>
      </c>
      <c r="F999" s="26"/>
      <c r="G999" s="66">
        <f t="shared" ref="G999:N1000" si="188">G1000</f>
        <v>5505.1</v>
      </c>
      <c r="H999" s="66">
        <f t="shared" si="188"/>
        <v>0</v>
      </c>
      <c r="I999" s="67">
        <f t="shared" si="174"/>
        <v>5505.1</v>
      </c>
      <c r="J999" s="66">
        <f t="shared" si="188"/>
        <v>0</v>
      </c>
      <c r="K999" s="67">
        <f t="shared" si="180"/>
        <v>5505.1</v>
      </c>
      <c r="L999" s="66">
        <f t="shared" si="188"/>
        <v>0</v>
      </c>
      <c r="M999" s="67">
        <f t="shared" si="181"/>
        <v>5505.1</v>
      </c>
      <c r="N999" s="66">
        <f t="shared" si="188"/>
        <v>0</v>
      </c>
      <c r="O999" s="67">
        <f t="shared" si="184"/>
        <v>5505.1</v>
      </c>
    </row>
    <row r="1000" spans="1:15" ht="33" x14ac:dyDescent="0.2">
      <c r="A1000" s="64" t="str">
        <f ca="1">IF(ISERROR(MATCH(F1000,Код_КВР,0)),"",INDIRECT(ADDRESS(MATCH(F1000,Код_КВР,0)+1,2,,,"КВР")))</f>
        <v>Предоставление субсидий бюджетным, автономным учреждениям и иным некоммерческим организациям</v>
      </c>
      <c r="B1000" s="26">
        <v>808</v>
      </c>
      <c r="C1000" s="65" t="s">
        <v>79</v>
      </c>
      <c r="D1000" s="65" t="s">
        <v>70</v>
      </c>
      <c r="E1000" s="26" t="s">
        <v>244</v>
      </c>
      <c r="F1000" s="26">
        <v>600</v>
      </c>
      <c r="G1000" s="66">
        <f t="shared" si="188"/>
        <v>5505.1</v>
      </c>
      <c r="H1000" s="66">
        <f t="shared" si="188"/>
        <v>0</v>
      </c>
      <c r="I1000" s="67">
        <f t="shared" si="174"/>
        <v>5505.1</v>
      </c>
      <c r="J1000" s="66">
        <f t="shared" si="188"/>
        <v>0</v>
      </c>
      <c r="K1000" s="67">
        <f t="shared" si="180"/>
        <v>5505.1</v>
      </c>
      <c r="L1000" s="66">
        <f t="shared" si="188"/>
        <v>0</v>
      </c>
      <c r="M1000" s="67">
        <f t="shared" si="181"/>
        <v>5505.1</v>
      </c>
      <c r="N1000" s="66">
        <f t="shared" si="188"/>
        <v>0</v>
      </c>
      <c r="O1000" s="67">
        <f t="shared" si="184"/>
        <v>5505.1</v>
      </c>
    </row>
    <row r="1001" spans="1:15" x14ac:dyDescent="0.2">
      <c r="A1001" s="64" t="str">
        <f ca="1">IF(ISERROR(MATCH(F1001,Код_КВР,0)),"",INDIRECT(ADDRESS(MATCH(F1001,Код_КВР,0)+1,2,,,"КВР")))</f>
        <v>Субсидии бюджетным учреждениям</v>
      </c>
      <c r="B1001" s="26">
        <v>808</v>
      </c>
      <c r="C1001" s="65" t="s">
        <v>79</v>
      </c>
      <c r="D1001" s="65" t="s">
        <v>70</v>
      </c>
      <c r="E1001" s="26" t="s">
        <v>244</v>
      </c>
      <c r="F1001" s="26">
        <v>610</v>
      </c>
      <c r="G1001" s="66">
        <v>5505.1</v>
      </c>
      <c r="H1001" s="66"/>
      <c r="I1001" s="67">
        <f t="shared" si="174"/>
        <v>5505.1</v>
      </c>
      <c r="J1001" s="66"/>
      <c r="K1001" s="67">
        <f t="shared" si="180"/>
        <v>5505.1</v>
      </c>
      <c r="L1001" s="66"/>
      <c r="M1001" s="67">
        <f t="shared" si="181"/>
        <v>5505.1</v>
      </c>
      <c r="N1001" s="66"/>
      <c r="O1001" s="67">
        <f t="shared" si="184"/>
        <v>5505.1</v>
      </c>
    </row>
    <row r="1002" spans="1:15" ht="33" x14ac:dyDescent="0.2">
      <c r="A1002" s="64" t="str">
        <f ca="1">IF(ISERROR(MATCH(E1002,Код_КЦСР,0)),"",INDIRECT(ADDRESS(MATCH(E1002,Код_КЦСР,0)+1,2,,,"КЦСР")))</f>
        <v>Формирование, учет, изучение, обеспечение физического сохранения и безопасности фондов библиотеки</v>
      </c>
      <c r="B1002" s="26">
        <v>808</v>
      </c>
      <c r="C1002" s="65" t="s">
        <v>79</v>
      </c>
      <c r="D1002" s="65" t="s">
        <v>70</v>
      </c>
      <c r="E1002" s="26" t="s">
        <v>246</v>
      </c>
      <c r="F1002" s="26"/>
      <c r="G1002" s="66">
        <f t="shared" ref="G1002:N1003" si="189">G1003</f>
        <v>4893.3999999999996</v>
      </c>
      <c r="H1002" s="66">
        <f t="shared" si="189"/>
        <v>0</v>
      </c>
      <c r="I1002" s="67">
        <f t="shared" si="174"/>
        <v>4893.3999999999996</v>
      </c>
      <c r="J1002" s="66">
        <f t="shared" si="189"/>
        <v>0</v>
      </c>
      <c r="K1002" s="67">
        <f t="shared" si="180"/>
        <v>4893.3999999999996</v>
      </c>
      <c r="L1002" s="66">
        <f t="shared" si="189"/>
        <v>0</v>
      </c>
      <c r="M1002" s="67">
        <f t="shared" si="181"/>
        <v>4893.3999999999996</v>
      </c>
      <c r="N1002" s="66">
        <f t="shared" si="189"/>
        <v>0</v>
      </c>
      <c r="O1002" s="67">
        <f t="shared" si="184"/>
        <v>4893.3999999999996</v>
      </c>
    </row>
    <row r="1003" spans="1:15" ht="33" x14ac:dyDescent="0.2">
      <c r="A1003" s="64" t="str">
        <f ca="1">IF(ISERROR(MATCH(F1003,Код_КВР,0)),"",INDIRECT(ADDRESS(MATCH(F1003,Код_КВР,0)+1,2,,,"КВР")))</f>
        <v>Предоставление субсидий бюджетным, автономным учреждениям и иным некоммерческим организациям</v>
      </c>
      <c r="B1003" s="26">
        <v>808</v>
      </c>
      <c r="C1003" s="65" t="s">
        <v>79</v>
      </c>
      <c r="D1003" s="65" t="s">
        <v>70</v>
      </c>
      <c r="E1003" s="26" t="s">
        <v>246</v>
      </c>
      <c r="F1003" s="26">
        <v>600</v>
      </c>
      <c r="G1003" s="66">
        <f t="shared" si="189"/>
        <v>4893.3999999999996</v>
      </c>
      <c r="H1003" s="66">
        <f t="shared" si="189"/>
        <v>0</v>
      </c>
      <c r="I1003" s="67">
        <f t="shared" si="174"/>
        <v>4893.3999999999996</v>
      </c>
      <c r="J1003" s="66">
        <f t="shared" si="189"/>
        <v>0</v>
      </c>
      <c r="K1003" s="67">
        <f t="shared" si="180"/>
        <v>4893.3999999999996</v>
      </c>
      <c r="L1003" s="66">
        <f t="shared" si="189"/>
        <v>0</v>
      </c>
      <c r="M1003" s="67">
        <f t="shared" si="181"/>
        <v>4893.3999999999996</v>
      </c>
      <c r="N1003" s="66">
        <f t="shared" si="189"/>
        <v>0</v>
      </c>
      <c r="O1003" s="67">
        <f t="shared" si="184"/>
        <v>4893.3999999999996</v>
      </c>
    </row>
    <row r="1004" spans="1:15" x14ac:dyDescent="0.2">
      <c r="A1004" s="64" t="str">
        <f ca="1">IF(ISERROR(MATCH(F1004,Код_КВР,0)),"",INDIRECT(ADDRESS(MATCH(F1004,Код_КВР,0)+1,2,,,"КВР")))</f>
        <v>Субсидии бюджетным учреждениям</v>
      </c>
      <c r="B1004" s="26">
        <v>808</v>
      </c>
      <c r="C1004" s="65" t="s">
        <v>79</v>
      </c>
      <c r="D1004" s="65" t="s">
        <v>70</v>
      </c>
      <c r="E1004" s="26" t="s">
        <v>246</v>
      </c>
      <c r="F1004" s="26">
        <v>610</v>
      </c>
      <c r="G1004" s="66">
        <v>4893.3999999999996</v>
      </c>
      <c r="H1004" s="66"/>
      <c r="I1004" s="67">
        <f t="shared" si="174"/>
        <v>4893.3999999999996</v>
      </c>
      <c r="J1004" s="66"/>
      <c r="K1004" s="67">
        <f t="shared" si="180"/>
        <v>4893.3999999999996</v>
      </c>
      <c r="L1004" s="66"/>
      <c r="M1004" s="67">
        <f t="shared" si="181"/>
        <v>4893.3999999999996</v>
      </c>
      <c r="N1004" s="66"/>
      <c r="O1004" s="67">
        <f t="shared" si="184"/>
        <v>4893.3999999999996</v>
      </c>
    </row>
    <row r="1005" spans="1:15" x14ac:dyDescent="0.2">
      <c r="A1005" s="64" t="str">
        <f ca="1">IF(ISERROR(MATCH(E1005,Код_КЦСР,0)),"",INDIRECT(ADDRESS(MATCH(E1005,Код_КЦСР,0)+1,2,,,"КЦСР")))</f>
        <v>Развитие библиотечного дела</v>
      </c>
      <c r="B1005" s="26">
        <v>808</v>
      </c>
      <c r="C1005" s="65" t="s">
        <v>79</v>
      </c>
      <c r="D1005" s="65" t="s">
        <v>70</v>
      </c>
      <c r="E1005" s="26" t="s">
        <v>688</v>
      </c>
      <c r="F1005" s="26"/>
      <c r="G1005" s="66"/>
      <c r="H1005" s="66"/>
      <c r="I1005" s="67"/>
      <c r="J1005" s="66"/>
      <c r="K1005" s="67"/>
      <c r="L1005" s="66">
        <f>L1006</f>
        <v>482.1</v>
      </c>
      <c r="M1005" s="67">
        <f t="shared" si="181"/>
        <v>482.1</v>
      </c>
      <c r="N1005" s="66">
        <f>N1006</f>
        <v>0</v>
      </c>
      <c r="O1005" s="67">
        <f t="shared" si="184"/>
        <v>482.1</v>
      </c>
    </row>
    <row r="1006" spans="1:15" ht="33" x14ac:dyDescent="0.2">
      <c r="A1006" s="64" t="str">
        <f ca="1">IF(ISERROR(MATCH(F1006,Код_КВР,0)),"",INDIRECT(ADDRESS(MATCH(F1006,Код_КВР,0)+1,2,,,"КВР")))</f>
        <v>Предоставление субсидий бюджетным, автономным учреждениям и иным некоммерческим организациям</v>
      </c>
      <c r="B1006" s="26">
        <v>808</v>
      </c>
      <c r="C1006" s="65" t="s">
        <v>79</v>
      </c>
      <c r="D1006" s="65" t="s">
        <v>70</v>
      </c>
      <c r="E1006" s="26" t="s">
        <v>688</v>
      </c>
      <c r="F1006" s="26">
        <v>600</v>
      </c>
      <c r="G1006" s="66"/>
      <c r="H1006" s="66"/>
      <c r="I1006" s="67"/>
      <c r="J1006" s="66"/>
      <c r="K1006" s="67"/>
      <c r="L1006" s="66">
        <f>L1007</f>
        <v>482.1</v>
      </c>
      <c r="M1006" s="67">
        <f t="shared" si="181"/>
        <v>482.1</v>
      </c>
      <c r="N1006" s="66">
        <f>N1007</f>
        <v>0</v>
      </c>
      <c r="O1006" s="67">
        <f t="shared" si="184"/>
        <v>482.1</v>
      </c>
    </row>
    <row r="1007" spans="1:15" x14ac:dyDescent="0.2">
      <c r="A1007" s="64" t="str">
        <f ca="1">IF(ISERROR(MATCH(F1007,Код_КВР,0)),"",INDIRECT(ADDRESS(MATCH(F1007,Код_КВР,0)+1,2,,,"КВР")))</f>
        <v>Субсидии бюджетным учреждениям</v>
      </c>
      <c r="B1007" s="26">
        <v>808</v>
      </c>
      <c r="C1007" s="65" t="s">
        <v>79</v>
      </c>
      <c r="D1007" s="65" t="s">
        <v>70</v>
      </c>
      <c r="E1007" s="26" t="s">
        <v>688</v>
      </c>
      <c r="F1007" s="26">
        <v>610</v>
      </c>
      <c r="G1007" s="66"/>
      <c r="H1007" s="66"/>
      <c r="I1007" s="67"/>
      <c r="J1007" s="66"/>
      <c r="K1007" s="67"/>
      <c r="L1007" s="66">
        <v>482.1</v>
      </c>
      <c r="M1007" s="67">
        <f t="shared" si="181"/>
        <v>482.1</v>
      </c>
      <c r="N1007" s="66"/>
      <c r="O1007" s="67">
        <f t="shared" si="184"/>
        <v>482.1</v>
      </c>
    </row>
    <row r="1008" spans="1:15" x14ac:dyDescent="0.2">
      <c r="A1008" s="64" t="str">
        <f ca="1">IF(ISERROR(MATCH(E1008,Код_КЦСР,0)),"",INDIRECT(ADDRESS(MATCH(E1008,Код_КЦСР,0)+1,2,,,"КЦСР")))</f>
        <v>Искусство</v>
      </c>
      <c r="B1008" s="26">
        <v>808</v>
      </c>
      <c r="C1008" s="65" t="s">
        <v>79</v>
      </c>
      <c r="D1008" s="65" t="s">
        <v>70</v>
      </c>
      <c r="E1008" s="26" t="s">
        <v>248</v>
      </c>
      <c r="F1008" s="26"/>
      <c r="G1008" s="66">
        <f>G1009</f>
        <v>103488.69999999998</v>
      </c>
      <c r="H1008" s="66">
        <f>H1009</f>
        <v>0</v>
      </c>
      <c r="I1008" s="67">
        <f t="shared" ref="I1008:I1071" si="190">G1008+H1008</f>
        <v>103488.69999999998</v>
      </c>
      <c r="J1008" s="66">
        <f>J1009</f>
        <v>0</v>
      </c>
      <c r="K1008" s="67">
        <f t="shared" si="180"/>
        <v>103488.69999999998</v>
      </c>
      <c r="L1008" s="66">
        <f>L1009</f>
        <v>106.9</v>
      </c>
      <c r="M1008" s="67">
        <f t="shared" si="181"/>
        <v>103595.59999999998</v>
      </c>
      <c r="N1008" s="66">
        <f>N1009</f>
        <v>94</v>
      </c>
      <c r="O1008" s="67">
        <f t="shared" si="184"/>
        <v>103689.59999999998</v>
      </c>
    </row>
    <row r="1009" spans="1:15" ht="33" x14ac:dyDescent="0.2">
      <c r="A1009" s="64" t="str">
        <f ca="1">IF(ISERROR(MATCH(E1009,Код_КЦСР,0)),"",INDIRECT(ADDRESS(MATCH(E1009,Код_КЦСР,0)+1,2,,,"КЦСР")))</f>
        <v>Оказание муниципальных услуг в области театрально-концертного дела и обеспечение деятельности муниципальных учреждений культуры</v>
      </c>
      <c r="B1009" s="26">
        <v>808</v>
      </c>
      <c r="C1009" s="65" t="s">
        <v>79</v>
      </c>
      <c r="D1009" s="65" t="s">
        <v>70</v>
      </c>
      <c r="E1009" s="26" t="s">
        <v>250</v>
      </c>
      <c r="F1009" s="26"/>
      <c r="G1009" s="66">
        <f>G1010</f>
        <v>103488.69999999998</v>
      </c>
      <c r="H1009" s="66">
        <f>H1010</f>
        <v>0</v>
      </c>
      <c r="I1009" s="67">
        <f t="shared" si="190"/>
        <v>103488.69999999998</v>
      </c>
      <c r="J1009" s="66">
        <f>J1010</f>
        <v>0</v>
      </c>
      <c r="K1009" s="67">
        <f t="shared" si="180"/>
        <v>103488.69999999998</v>
      </c>
      <c r="L1009" s="66">
        <f>L1010</f>
        <v>106.9</v>
      </c>
      <c r="M1009" s="67">
        <f t="shared" si="181"/>
        <v>103595.59999999998</v>
      </c>
      <c r="N1009" s="66">
        <f>N1010</f>
        <v>94</v>
      </c>
      <c r="O1009" s="67">
        <f t="shared" si="184"/>
        <v>103689.59999999998</v>
      </c>
    </row>
    <row r="1010" spans="1:15" ht="33" x14ac:dyDescent="0.2">
      <c r="A1010" s="64" t="str">
        <f ca="1">IF(ISERROR(MATCH(F1010,Код_КВР,0)),"",INDIRECT(ADDRESS(MATCH(F1010,Код_КВР,0)+1,2,,,"КВР")))</f>
        <v>Предоставление субсидий бюджетным, автономным учреждениям и иным некоммерческим организациям</v>
      </c>
      <c r="B1010" s="26">
        <v>808</v>
      </c>
      <c r="C1010" s="65" t="s">
        <v>79</v>
      </c>
      <c r="D1010" s="65" t="s">
        <v>70</v>
      </c>
      <c r="E1010" s="26" t="s">
        <v>250</v>
      </c>
      <c r="F1010" s="26">
        <v>600</v>
      </c>
      <c r="G1010" s="66">
        <f>G1011+G1012</f>
        <v>103488.69999999998</v>
      </c>
      <c r="H1010" s="66">
        <f>H1011+H1012</f>
        <v>0</v>
      </c>
      <c r="I1010" s="67">
        <f t="shared" si="190"/>
        <v>103488.69999999998</v>
      </c>
      <c r="J1010" s="66">
        <f>J1011+J1012</f>
        <v>0</v>
      </c>
      <c r="K1010" s="67">
        <f t="shared" si="180"/>
        <v>103488.69999999998</v>
      </c>
      <c r="L1010" s="66">
        <f>L1011+L1012</f>
        <v>106.9</v>
      </c>
      <c r="M1010" s="67">
        <f t="shared" si="181"/>
        <v>103595.59999999998</v>
      </c>
      <c r="N1010" s="66">
        <f>N1011+N1012</f>
        <v>94</v>
      </c>
      <c r="O1010" s="67">
        <f t="shared" si="184"/>
        <v>103689.59999999998</v>
      </c>
    </row>
    <row r="1011" spans="1:15" x14ac:dyDescent="0.2">
      <c r="A1011" s="64" t="str">
        <f ca="1">IF(ISERROR(MATCH(F1011,Код_КВР,0)),"",INDIRECT(ADDRESS(MATCH(F1011,Код_КВР,0)+1,2,,,"КВР")))</f>
        <v>Субсидии бюджетным учреждениям</v>
      </c>
      <c r="B1011" s="26">
        <v>808</v>
      </c>
      <c r="C1011" s="65" t="s">
        <v>79</v>
      </c>
      <c r="D1011" s="65" t="s">
        <v>70</v>
      </c>
      <c r="E1011" s="26" t="s">
        <v>250</v>
      </c>
      <c r="F1011" s="26">
        <v>610</v>
      </c>
      <c r="G1011" s="66">
        <f>70140.7+7+19704.1</f>
        <v>89851.799999999988</v>
      </c>
      <c r="H1011" s="66"/>
      <c r="I1011" s="67">
        <f t="shared" si="190"/>
        <v>89851.799999999988</v>
      </c>
      <c r="J1011" s="66"/>
      <c r="K1011" s="67">
        <f t="shared" si="180"/>
        <v>89851.799999999988</v>
      </c>
      <c r="L1011" s="66">
        <f>94.9</f>
        <v>94.9</v>
      </c>
      <c r="M1011" s="67">
        <f t="shared" si="181"/>
        <v>89946.699999999983</v>
      </c>
      <c r="N1011" s="66">
        <v>94</v>
      </c>
      <c r="O1011" s="67">
        <f t="shared" si="184"/>
        <v>90040.699999999983</v>
      </c>
    </row>
    <row r="1012" spans="1:15" x14ac:dyDescent="0.2">
      <c r="A1012" s="64" t="str">
        <f ca="1">IF(ISERROR(MATCH(F1012,Код_КВР,0)),"",INDIRECT(ADDRESS(MATCH(F1012,Код_КВР,0)+1,2,,,"КВР")))</f>
        <v>Субсидии автономным учреждениям</v>
      </c>
      <c r="B1012" s="26">
        <v>808</v>
      </c>
      <c r="C1012" s="65" t="s">
        <v>79</v>
      </c>
      <c r="D1012" s="65" t="s">
        <v>70</v>
      </c>
      <c r="E1012" s="26" t="s">
        <v>250</v>
      </c>
      <c r="F1012" s="26">
        <v>620</v>
      </c>
      <c r="G1012" s="66">
        <f>11581.3+1970.9+84.7</f>
        <v>13636.9</v>
      </c>
      <c r="H1012" s="66"/>
      <c r="I1012" s="67">
        <f t="shared" si="190"/>
        <v>13636.9</v>
      </c>
      <c r="J1012" s="66"/>
      <c r="K1012" s="67">
        <f t="shared" si="180"/>
        <v>13636.9</v>
      </c>
      <c r="L1012" s="66">
        <v>12</v>
      </c>
      <c r="M1012" s="67">
        <f t="shared" si="181"/>
        <v>13648.9</v>
      </c>
      <c r="N1012" s="66"/>
      <c r="O1012" s="67">
        <f t="shared" si="184"/>
        <v>13648.9</v>
      </c>
    </row>
    <row r="1013" spans="1:15" x14ac:dyDescent="0.2">
      <c r="A1013" s="64" t="str">
        <f ca="1">IF(ISERROR(MATCH(E1013,Код_КЦСР,0)),"",INDIRECT(ADDRESS(MATCH(E1013,Код_КЦСР,0)+1,2,,,"КЦСР")))</f>
        <v>Досуг</v>
      </c>
      <c r="B1013" s="26">
        <v>808</v>
      </c>
      <c r="C1013" s="65" t="s">
        <v>79</v>
      </c>
      <c r="D1013" s="65" t="s">
        <v>70</v>
      </c>
      <c r="E1013" s="26" t="s">
        <v>255</v>
      </c>
      <c r="F1013" s="26"/>
      <c r="G1013" s="66">
        <f>G1014+G1017+G1020</f>
        <v>56153.299999999996</v>
      </c>
      <c r="H1013" s="66">
        <f>H1014+H1017+H1020</f>
        <v>0</v>
      </c>
      <c r="I1013" s="67">
        <f t="shared" si="190"/>
        <v>56153.299999999996</v>
      </c>
      <c r="J1013" s="66">
        <f>J1014+J1017+J1020</f>
        <v>0</v>
      </c>
      <c r="K1013" s="67">
        <f t="shared" si="180"/>
        <v>56153.299999999996</v>
      </c>
      <c r="L1013" s="66">
        <f>L1014+L1017+L1020</f>
        <v>256.10000000000002</v>
      </c>
      <c r="M1013" s="67">
        <f t="shared" si="181"/>
        <v>56409.399999999994</v>
      </c>
      <c r="N1013" s="66">
        <f>N1014+N1017+N1020</f>
        <v>94</v>
      </c>
      <c r="O1013" s="67">
        <f t="shared" si="184"/>
        <v>56503.399999999994</v>
      </c>
    </row>
    <row r="1014" spans="1:15" ht="33" x14ac:dyDescent="0.2">
      <c r="A1014" s="64" t="str">
        <f ca="1">IF(ISERROR(MATCH(E1014,Код_КЦСР,0)),"",INDIRECT(ADDRESS(MATCH(E1014,Код_КЦСР,0)+1,2,,,"КЦСР")))</f>
        <v>Организация деятельности клубных формирований и формирований самодеятельного народного творчества</v>
      </c>
      <c r="B1014" s="26">
        <v>808</v>
      </c>
      <c r="C1014" s="65" t="s">
        <v>79</v>
      </c>
      <c r="D1014" s="65" t="s">
        <v>70</v>
      </c>
      <c r="E1014" s="26" t="s">
        <v>257</v>
      </c>
      <c r="F1014" s="26"/>
      <c r="G1014" s="66">
        <f t="shared" ref="G1014:N1015" si="191">G1015</f>
        <v>44103.5</v>
      </c>
      <c r="H1014" s="66">
        <f t="shared" si="191"/>
        <v>0</v>
      </c>
      <c r="I1014" s="67">
        <f t="shared" si="190"/>
        <v>44103.5</v>
      </c>
      <c r="J1014" s="66">
        <f t="shared" si="191"/>
        <v>0</v>
      </c>
      <c r="K1014" s="67">
        <f t="shared" si="180"/>
        <v>44103.5</v>
      </c>
      <c r="L1014" s="66">
        <f t="shared" si="191"/>
        <v>256.10000000000002</v>
      </c>
      <c r="M1014" s="67">
        <f t="shared" si="181"/>
        <v>44359.6</v>
      </c>
      <c r="N1014" s="66">
        <f t="shared" si="191"/>
        <v>5403.2</v>
      </c>
      <c r="O1014" s="67">
        <f t="shared" si="184"/>
        <v>49762.799999999996</v>
      </c>
    </row>
    <row r="1015" spans="1:15" ht="33" x14ac:dyDescent="0.2">
      <c r="A1015" s="64" t="str">
        <f ca="1">IF(ISERROR(MATCH(F1015,Код_КВР,0)),"",INDIRECT(ADDRESS(MATCH(F1015,Код_КВР,0)+1,2,,,"КВР")))</f>
        <v>Предоставление субсидий бюджетным, автономным учреждениям и иным некоммерческим организациям</v>
      </c>
      <c r="B1015" s="26">
        <v>808</v>
      </c>
      <c r="C1015" s="65" t="s">
        <v>79</v>
      </c>
      <c r="D1015" s="65" t="s">
        <v>70</v>
      </c>
      <c r="E1015" s="26" t="s">
        <v>257</v>
      </c>
      <c r="F1015" s="26">
        <v>600</v>
      </c>
      <c r="G1015" s="66">
        <f t="shared" si="191"/>
        <v>44103.5</v>
      </c>
      <c r="H1015" s="66">
        <f t="shared" si="191"/>
        <v>0</v>
      </c>
      <c r="I1015" s="67">
        <f t="shared" si="190"/>
        <v>44103.5</v>
      </c>
      <c r="J1015" s="66">
        <f t="shared" si="191"/>
        <v>0</v>
      </c>
      <c r="K1015" s="67">
        <f t="shared" si="180"/>
        <v>44103.5</v>
      </c>
      <c r="L1015" s="66">
        <f t="shared" si="191"/>
        <v>256.10000000000002</v>
      </c>
      <c r="M1015" s="67">
        <f t="shared" si="181"/>
        <v>44359.6</v>
      </c>
      <c r="N1015" s="66">
        <f t="shared" si="191"/>
        <v>5403.2</v>
      </c>
      <c r="O1015" s="67">
        <f t="shared" si="184"/>
        <v>49762.799999999996</v>
      </c>
    </row>
    <row r="1016" spans="1:15" x14ac:dyDescent="0.2">
      <c r="A1016" s="64" t="str">
        <f ca="1">IF(ISERROR(MATCH(F1016,Код_КВР,0)),"",INDIRECT(ADDRESS(MATCH(F1016,Код_КВР,0)+1,2,,,"КВР")))</f>
        <v>Субсидии бюджетным учреждениям</v>
      </c>
      <c r="B1016" s="26">
        <v>808</v>
      </c>
      <c r="C1016" s="65" t="s">
        <v>79</v>
      </c>
      <c r="D1016" s="65" t="s">
        <v>70</v>
      </c>
      <c r="E1016" s="26" t="s">
        <v>257</v>
      </c>
      <c r="F1016" s="26">
        <v>610</v>
      </c>
      <c r="G1016" s="66">
        <f>37267.8+2325.1+4510.6</f>
        <v>44103.5</v>
      </c>
      <c r="H1016" s="66"/>
      <c r="I1016" s="67">
        <f t="shared" si="190"/>
        <v>44103.5</v>
      </c>
      <c r="J1016" s="66"/>
      <c r="K1016" s="67">
        <f t="shared" si="180"/>
        <v>44103.5</v>
      </c>
      <c r="L1016" s="66">
        <v>256.10000000000002</v>
      </c>
      <c r="M1016" s="67">
        <f t="shared" si="181"/>
        <v>44359.6</v>
      </c>
      <c r="N1016" s="66">
        <f>94+2454.5+2854.7</f>
        <v>5403.2</v>
      </c>
      <c r="O1016" s="67">
        <f t="shared" si="184"/>
        <v>49762.799999999996</v>
      </c>
    </row>
    <row r="1017" spans="1:15" x14ac:dyDescent="0.2">
      <c r="A1017" s="64" t="str">
        <f ca="1">IF(ISERROR(MATCH(E1017,Код_КЦСР,0)),"",INDIRECT(ADDRESS(MATCH(E1017,Код_КЦСР,0)+1,2,,,"КЦСР")))</f>
        <v>Организация и проведение городских культурно-массовых мероприятий</v>
      </c>
      <c r="B1017" s="26">
        <v>808</v>
      </c>
      <c r="C1017" s="65" t="s">
        <v>79</v>
      </c>
      <c r="D1017" s="65" t="s">
        <v>70</v>
      </c>
      <c r="E1017" s="26" t="s">
        <v>259</v>
      </c>
      <c r="F1017" s="26"/>
      <c r="G1017" s="66">
        <f t="shared" ref="G1017:N1018" si="192">G1018</f>
        <v>6740.6</v>
      </c>
      <c r="H1017" s="66">
        <f t="shared" si="192"/>
        <v>0</v>
      </c>
      <c r="I1017" s="67">
        <f t="shared" si="190"/>
        <v>6740.6</v>
      </c>
      <c r="J1017" s="66">
        <f t="shared" si="192"/>
        <v>0</v>
      </c>
      <c r="K1017" s="67">
        <f t="shared" si="180"/>
        <v>6740.6</v>
      </c>
      <c r="L1017" s="66">
        <f t="shared" si="192"/>
        <v>0</v>
      </c>
      <c r="M1017" s="67">
        <f t="shared" si="181"/>
        <v>6740.6</v>
      </c>
      <c r="N1017" s="66">
        <f t="shared" si="192"/>
        <v>0</v>
      </c>
      <c r="O1017" s="67">
        <f t="shared" si="184"/>
        <v>6740.6</v>
      </c>
    </row>
    <row r="1018" spans="1:15" ht="33" x14ac:dyDescent="0.2">
      <c r="A1018" s="64" t="str">
        <f ca="1">IF(ISERROR(MATCH(F1018,Код_КВР,0)),"",INDIRECT(ADDRESS(MATCH(F1018,Код_КВР,0)+1,2,,,"КВР")))</f>
        <v>Предоставление субсидий бюджетным, автономным учреждениям и иным некоммерческим организациям</v>
      </c>
      <c r="B1018" s="26">
        <v>808</v>
      </c>
      <c r="C1018" s="65" t="s">
        <v>79</v>
      </c>
      <c r="D1018" s="65" t="s">
        <v>70</v>
      </c>
      <c r="E1018" s="26" t="s">
        <v>259</v>
      </c>
      <c r="F1018" s="26">
        <v>600</v>
      </c>
      <c r="G1018" s="66">
        <f t="shared" si="192"/>
        <v>6740.6</v>
      </c>
      <c r="H1018" s="66">
        <f t="shared" si="192"/>
        <v>0</v>
      </c>
      <c r="I1018" s="67">
        <f t="shared" si="190"/>
        <v>6740.6</v>
      </c>
      <c r="J1018" s="66">
        <f t="shared" si="192"/>
        <v>0</v>
      </c>
      <c r="K1018" s="67">
        <f t="shared" si="180"/>
        <v>6740.6</v>
      </c>
      <c r="L1018" s="66">
        <f t="shared" si="192"/>
        <v>0</v>
      </c>
      <c r="M1018" s="67">
        <f t="shared" si="181"/>
        <v>6740.6</v>
      </c>
      <c r="N1018" s="66">
        <f t="shared" si="192"/>
        <v>0</v>
      </c>
      <c r="O1018" s="67">
        <f t="shared" si="184"/>
        <v>6740.6</v>
      </c>
    </row>
    <row r="1019" spans="1:15" x14ac:dyDescent="0.2">
      <c r="A1019" s="64" t="str">
        <f ca="1">IF(ISERROR(MATCH(F1019,Код_КВР,0)),"",INDIRECT(ADDRESS(MATCH(F1019,Код_КВР,0)+1,2,,,"КВР")))</f>
        <v>Субсидии бюджетным учреждениям</v>
      </c>
      <c r="B1019" s="26">
        <v>808</v>
      </c>
      <c r="C1019" s="65" t="s">
        <v>79</v>
      </c>
      <c r="D1019" s="65" t="s">
        <v>70</v>
      </c>
      <c r="E1019" s="26" t="s">
        <v>259</v>
      </c>
      <c r="F1019" s="26">
        <v>610</v>
      </c>
      <c r="G1019" s="66">
        <v>6740.6</v>
      </c>
      <c r="H1019" s="66"/>
      <c r="I1019" s="67">
        <f t="shared" si="190"/>
        <v>6740.6</v>
      </c>
      <c r="J1019" s="66"/>
      <c r="K1019" s="67">
        <f t="shared" si="180"/>
        <v>6740.6</v>
      </c>
      <c r="L1019" s="66"/>
      <c r="M1019" s="67">
        <f t="shared" si="181"/>
        <v>6740.6</v>
      </c>
      <c r="N1019" s="66"/>
      <c r="O1019" s="67">
        <f t="shared" si="184"/>
        <v>6740.6</v>
      </c>
    </row>
    <row r="1020" spans="1:15" ht="33" x14ac:dyDescent="0.2">
      <c r="A1020" s="64" t="str">
        <f ca="1">IF(ISERROR(MATCH(E1020,Код_КЦСР,0)),"",INDIRECT(ADDRESS(MATCH(E1020,Код_КЦСР,0)+1,2,,,"КЦСР")))</f>
        <v xml:space="preserve">Обеспечение сохранности и целостности историко-архитектурного комплекса, исторической среды и ландшафтов </v>
      </c>
      <c r="B1020" s="26">
        <v>808</v>
      </c>
      <c r="C1020" s="65" t="s">
        <v>79</v>
      </c>
      <c r="D1020" s="65" t="s">
        <v>70</v>
      </c>
      <c r="E1020" s="26" t="s">
        <v>443</v>
      </c>
      <c r="F1020" s="26"/>
      <c r="G1020" s="66">
        <f>G1021</f>
        <v>5309.2</v>
      </c>
      <c r="H1020" s="66">
        <f>H1021</f>
        <v>0</v>
      </c>
      <c r="I1020" s="67">
        <f t="shared" si="190"/>
        <v>5309.2</v>
      </c>
      <c r="J1020" s="66">
        <f>J1021</f>
        <v>0</v>
      </c>
      <c r="K1020" s="67">
        <f t="shared" si="180"/>
        <v>5309.2</v>
      </c>
      <c r="L1020" s="66">
        <f>L1021</f>
        <v>0</v>
      </c>
      <c r="M1020" s="67">
        <f t="shared" si="181"/>
        <v>5309.2</v>
      </c>
      <c r="N1020" s="66">
        <f>N1021</f>
        <v>-5309.2</v>
      </c>
      <c r="O1020" s="67">
        <f t="shared" si="184"/>
        <v>0</v>
      </c>
    </row>
    <row r="1021" spans="1:15" ht="33" x14ac:dyDescent="0.2">
      <c r="A1021" s="64" t="str">
        <f ca="1">IF(ISERROR(MATCH(F1021,Код_КВР,0)),"",INDIRECT(ADDRESS(MATCH(F1021,Код_КВР,0)+1,2,,,"КВР")))</f>
        <v>Предоставление субсидий бюджетным, автономным учреждениям и иным некоммерческим организациям</v>
      </c>
      <c r="B1021" s="26">
        <v>808</v>
      </c>
      <c r="C1021" s="65" t="s">
        <v>79</v>
      </c>
      <c r="D1021" s="65" t="s">
        <v>70</v>
      </c>
      <c r="E1021" s="26" t="s">
        <v>443</v>
      </c>
      <c r="F1021" s="26">
        <v>600</v>
      </c>
      <c r="G1021" s="66">
        <f>G1022</f>
        <v>5309.2</v>
      </c>
      <c r="H1021" s="66">
        <f>H1022</f>
        <v>0</v>
      </c>
      <c r="I1021" s="67">
        <f t="shared" si="190"/>
        <v>5309.2</v>
      </c>
      <c r="J1021" s="66">
        <f>J1022</f>
        <v>0</v>
      </c>
      <c r="K1021" s="67">
        <f t="shared" si="180"/>
        <v>5309.2</v>
      </c>
      <c r="L1021" s="66">
        <f>L1022</f>
        <v>0</v>
      </c>
      <c r="M1021" s="67">
        <f t="shared" si="181"/>
        <v>5309.2</v>
      </c>
      <c r="N1021" s="66">
        <f>N1022</f>
        <v>-5309.2</v>
      </c>
      <c r="O1021" s="67">
        <f t="shared" si="184"/>
        <v>0</v>
      </c>
    </row>
    <row r="1022" spans="1:15" x14ac:dyDescent="0.2">
      <c r="A1022" s="64" t="str">
        <f ca="1">IF(ISERROR(MATCH(F1022,Код_КВР,0)),"",INDIRECT(ADDRESS(MATCH(F1022,Код_КВР,0)+1,2,,,"КВР")))</f>
        <v>Субсидии бюджетным учреждениям</v>
      </c>
      <c r="B1022" s="26">
        <v>808</v>
      </c>
      <c r="C1022" s="65" t="s">
        <v>79</v>
      </c>
      <c r="D1022" s="65" t="s">
        <v>70</v>
      </c>
      <c r="E1022" s="26" t="s">
        <v>443</v>
      </c>
      <c r="F1022" s="26">
        <v>610</v>
      </c>
      <c r="G1022" s="66">
        <v>5309.2</v>
      </c>
      <c r="H1022" s="66"/>
      <c r="I1022" s="67">
        <f t="shared" si="190"/>
        <v>5309.2</v>
      </c>
      <c r="J1022" s="66"/>
      <c r="K1022" s="67">
        <f t="shared" si="180"/>
        <v>5309.2</v>
      </c>
      <c r="L1022" s="66"/>
      <c r="M1022" s="67">
        <f t="shared" si="181"/>
        <v>5309.2</v>
      </c>
      <c r="N1022" s="66">
        <f>-2454.5-2854.7</f>
        <v>-5309.2</v>
      </c>
      <c r="O1022" s="67">
        <f t="shared" si="184"/>
        <v>0</v>
      </c>
    </row>
    <row r="1023" spans="1:15" ht="33" x14ac:dyDescent="0.2">
      <c r="A1023" s="64" t="str">
        <f ca="1">IF(ISERROR(MATCH(E1023,Код_КЦСР,0)),"",INDIRECT(ADDRESS(MATCH(E1023,Код_КЦСР,0)+1,2,,,"КЦСР")))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1023" s="26">
        <v>808</v>
      </c>
      <c r="C1023" s="65" t="s">
        <v>79</v>
      </c>
      <c r="D1023" s="65" t="s">
        <v>70</v>
      </c>
      <c r="E1023" s="26" t="s">
        <v>369</v>
      </c>
      <c r="F1023" s="26"/>
      <c r="G1023" s="66">
        <f>G1024</f>
        <v>309.10000000000002</v>
      </c>
      <c r="H1023" s="66">
        <f>H1024</f>
        <v>0</v>
      </c>
      <c r="I1023" s="67">
        <f t="shared" si="190"/>
        <v>309.10000000000002</v>
      </c>
      <c r="J1023" s="66">
        <f>J1024</f>
        <v>0</v>
      </c>
      <c r="K1023" s="67">
        <f t="shared" si="180"/>
        <v>309.10000000000002</v>
      </c>
      <c r="L1023" s="66">
        <f>L1024</f>
        <v>0</v>
      </c>
      <c r="M1023" s="67">
        <f t="shared" si="181"/>
        <v>309.10000000000002</v>
      </c>
      <c r="N1023" s="66">
        <f>N1024</f>
        <v>0</v>
      </c>
      <c r="O1023" s="67">
        <f t="shared" si="184"/>
        <v>309.10000000000002</v>
      </c>
    </row>
    <row r="1024" spans="1:15" x14ac:dyDescent="0.2">
      <c r="A1024" s="64" t="str">
        <f ca="1">IF(ISERROR(MATCH(E1024,Код_КЦСР,0)),"",INDIRECT(ADDRESS(MATCH(E1024,Код_КЦСР,0)+1,2,,,"КЦСР")))</f>
        <v>Обеспечение пожарной безопасности муниципальных учреждений города</v>
      </c>
      <c r="B1024" s="26">
        <v>808</v>
      </c>
      <c r="C1024" s="65" t="s">
        <v>79</v>
      </c>
      <c r="D1024" s="65" t="s">
        <v>70</v>
      </c>
      <c r="E1024" s="26" t="s">
        <v>370</v>
      </c>
      <c r="F1024" s="26"/>
      <c r="G1024" s="66">
        <f>G1025+G1028</f>
        <v>309.10000000000002</v>
      </c>
      <c r="H1024" s="66">
        <f>H1025+H1028</f>
        <v>0</v>
      </c>
      <c r="I1024" s="67">
        <f t="shared" si="190"/>
        <v>309.10000000000002</v>
      </c>
      <c r="J1024" s="66">
        <f>J1025+J1028</f>
        <v>0</v>
      </c>
      <c r="K1024" s="67">
        <f t="shared" si="180"/>
        <v>309.10000000000002</v>
      </c>
      <c r="L1024" s="66">
        <f>L1025+L1028</f>
        <v>0</v>
      </c>
      <c r="M1024" s="67">
        <f t="shared" si="181"/>
        <v>309.10000000000002</v>
      </c>
      <c r="N1024" s="66">
        <f>N1025+N1028</f>
        <v>0</v>
      </c>
      <c r="O1024" s="67">
        <f t="shared" si="184"/>
        <v>309.10000000000002</v>
      </c>
    </row>
    <row r="1025" spans="1:15" ht="33" x14ac:dyDescent="0.2">
      <c r="A1025" s="64" t="str">
        <f ca="1">IF(ISERROR(MATCH(E1025,Код_КЦСР,0)),"",INDIRECT(ADDRESS(MATCH(E1025,Код_КЦСР,0)+1,2,,,"КЦСР")))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1025" s="26">
        <v>808</v>
      </c>
      <c r="C1025" s="65" t="s">
        <v>79</v>
      </c>
      <c r="D1025" s="65" t="s">
        <v>70</v>
      </c>
      <c r="E1025" s="26" t="s">
        <v>371</v>
      </c>
      <c r="F1025" s="26"/>
      <c r="G1025" s="66">
        <f>G1026</f>
        <v>122.3</v>
      </c>
      <c r="H1025" s="66">
        <f>H1026</f>
        <v>0</v>
      </c>
      <c r="I1025" s="67">
        <f t="shared" si="190"/>
        <v>122.3</v>
      </c>
      <c r="J1025" s="66">
        <f>J1026</f>
        <v>0</v>
      </c>
      <c r="K1025" s="67">
        <f t="shared" si="180"/>
        <v>122.3</v>
      </c>
      <c r="L1025" s="66">
        <f>L1026</f>
        <v>0</v>
      </c>
      <c r="M1025" s="67">
        <f t="shared" si="181"/>
        <v>122.3</v>
      </c>
      <c r="N1025" s="66">
        <f>N1026</f>
        <v>0</v>
      </c>
      <c r="O1025" s="67">
        <f t="shared" si="184"/>
        <v>122.3</v>
      </c>
    </row>
    <row r="1026" spans="1:15" ht="33" x14ac:dyDescent="0.2">
      <c r="A1026" s="64" t="str">
        <f ca="1">IF(ISERROR(MATCH(F1026,Код_КВР,0)),"",INDIRECT(ADDRESS(MATCH(F1026,Код_КВР,0)+1,2,,,"КВР")))</f>
        <v>Предоставление субсидий бюджетным, автономным учреждениям и иным некоммерческим организациям</v>
      </c>
      <c r="B1026" s="26">
        <v>808</v>
      </c>
      <c r="C1026" s="65" t="s">
        <v>79</v>
      </c>
      <c r="D1026" s="65" t="s">
        <v>70</v>
      </c>
      <c r="E1026" s="26" t="s">
        <v>371</v>
      </c>
      <c r="F1026" s="26">
        <v>600</v>
      </c>
      <c r="G1026" s="66">
        <f>G1027</f>
        <v>122.3</v>
      </c>
      <c r="H1026" s="66">
        <f>H1027</f>
        <v>0</v>
      </c>
      <c r="I1026" s="67">
        <f t="shared" si="190"/>
        <v>122.3</v>
      </c>
      <c r="J1026" s="66">
        <f>J1027</f>
        <v>0</v>
      </c>
      <c r="K1026" s="67">
        <f t="shared" si="180"/>
        <v>122.3</v>
      </c>
      <c r="L1026" s="66">
        <f>L1027</f>
        <v>0</v>
      </c>
      <c r="M1026" s="67">
        <f t="shared" si="181"/>
        <v>122.3</v>
      </c>
      <c r="N1026" s="66">
        <f>N1027</f>
        <v>0</v>
      </c>
      <c r="O1026" s="67">
        <f t="shared" si="184"/>
        <v>122.3</v>
      </c>
    </row>
    <row r="1027" spans="1:15" x14ac:dyDescent="0.2">
      <c r="A1027" s="64" t="str">
        <f ca="1">IF(ISERROR(MATCH(F1027,Код_КВР,0)),"",INDIRECT(ADDRESS(MATCH(F1027,Код_КВР,0)+1,2,,,"КВР")))</f>
        <v>Субсидии бюджетным учреждениям</v>
      </c>
      <c r="B1027" s="26">
        <v>808</v>
      </c>
      <c r="C1027" s="65" t="s">
        <v>79</v>
      </c>
      <c r="D1027" s="65" t="s">
        <v>70</v>
      </c>
      <c r="E1027" s="26" t="s">
        <v>371</v>
      </c>
      <c r="F1027" s="26">
        <v>610</v>
      </c>
      <c r="G1027" s="66">
        <v>122.3</v>
      </c>
      <c r="H1027" s="66"/>
      <c r="I1027" s="67">
        <f t="shared" si="190"/>
        <v>122.3</v>
      </c>
      <c r="J1027" s="66"/>
      <c r="K1027" s="67">
        <f t="shared" si="180"/>
        <v>122.3</v>
      </c>
      <c r="L1027" s="66"/>
      <c r="M1027" s="67">
        <f t="shared" si="181"/>
        <v>122.3</v>
      </c>
      <c r="N1027" s="66"/>
      <c r="O1027" s="67">
        <f t="shared" si="184"/>
        <v>122.3</v>
      </c>
    </row>
    <row r="1028" spans="1:15" x14ac:dyDescent="0.2">
      <c r="A1028" s="64" t="str">
        <f ca="1">IF(ISERROR(MATCH(E1028,Код_КЦСР,0)),"",INDIRECT(ADDRESS(MATCH(E1028,Код_КЦСР,0)+1,2,,,"КЦСР")))</f>
        <v>Ремонт и обслуживание электрооборудования зданий</v>
      </c>
      <c r="B1028" s="26">
        <v>808</v>
      </c>
      <c r="C1028" s="65" t="s">
        <v>79</v>
      </c>
      <c r="D1028" s="65" t="s">
        <v>70</v>
      </c>
      <c r="E1028" s="26" t="s">
        <v>374</v>
      </c>
      <c r="F1028" s="26"/>
      <c r="G1028" s="66">
        <f t="shared" ref="G1028:N1029" si="193">G1029</f>
        <v>186.8</v>
      </c>
      <c r="H1028" s="66">
        <f t="shared" si="193"/>
        <v>0</v>
      </c>
      <c r="I1028" s="67">
        <f t="shared" si="190"/>
        <v>186.8</v>
      </c>
      <c r="J1028" s="66">
        <f t="shared" si="193"/>
        <v>0</v>
      </c>
      <c r="K1028" s="67">
        <f t="shared" si="180"/>
        <v>186.8</v>
      </c>
      <c r="L1028" s="66">
        <f t="shared" si="193"/>
        <v>0</v>
      </c>
      <c r="M1028" s="67">
        <f t="shared" si="181"/>
        <v>186.8</v>
      </c>
      <c r="N1028" s="66">
        <f t="shared" si="193"/>
        <v>0</v>
      </c>
      <c r="O1028" s="67">
        <f t="shared" si="184"/>
        <v>186.8</v>
      </c>
    </row>
    <row r="1029" spans="1:15" ht="33" x14ac:dyDescent="0.2">
      <c r="A1029" s="64" t="str">
        <f ca="1">IF(ISERROR(MATCH(F1029,Код_КВР,0)),"",INDIRECT(ADDRESS(MATCH(F1029,Код_КВР,0)+1,2,,,"КВР")))</f>
        <v>Предоставление субсидий бюджетным, автономным учреждениям и иным некоммерческим организациям</v>
      </c>
      <c r="B1029" s="26">
        <v>808</v>
      </c>
      <c r="C1029" s="65" t="s">
        <v>79</v>
      </c>
      <c r="D1029" s="65" t="s">
        <v>70</v>
      </c>
      <c r="E1029" s="26" t="s">
        <v>374</v>
      </c>
      <c r="F1029" s="26">
        <v>600</v>
      </c>
      <c r="G1029" s="66">
        <f t="shared" si="193"/>
        <v>186.8</v>
      </c>
      <c r="H1029" s="66">
        <f t="shared" si="193"/>
        <v>0</v>
      </c>
      <c r="I1029" s="67">
        <f t="shared" si="190"/>
        <v>186.8</v>
      </c>
      <c r="J1029" s="66">
        <f t="shared" si="193"/>
        <v>0</v>
      </c>
      <c r="K1029" s="67">
        <f t="shared" si="180"/>
        <v>186.8</v>
      </c>
      <c r="L1029" s="66">
        <f t="shared" si="193"/>
        <v>0</v>
      </c>
      <c r="M1029" s="67">
        <f t="shared" si="181"/>
        <v>186.8</v>
      </c>
      <c r="N1029" s="66">
        <f t="shared" si="193"/>
        <v>0</v>
      </c>
      <c r="O1029" s="67">
        <f t="shared" si="184"/>
        <v>186.8</v>
      </c>
    </row>
    <row r="1030" spans="1:15" x14ac:dyDescent="0.2">
      <c r="A1030" s="64" t="str">
        <f ca="1">IF(ISERROR(MATCH(F1030,Код_КВР,0)),"",INDIRECT(ADDRESS(MATCH(F1030,Код_КВР,0)+1,2,,,"КВР")))</f>
        <v>Субсидии бюджетным учреждениям</v>
      </c>
      <c r="B1030" s="26">
        <v>808</v>
      </c>
      <c r="C1030" s="65" t="s">
        <v>79</v>
      </c>
      <c r="D1030" s="65" t="s">
        <v>70</v>
      </c>
      <c r="E1030" s="26" t="s">
        <v>374</v>
      </c>
      <c r="F1030" s="26">
        <v>610</v>
      </c>
      <c r="G1030" s="66">
        <v>186.8</v>
      </c>
      <c r="H1030" s="66"/>
      <c r="I1030" s="67">
        <f t="shared" si="190"/>
        <v>186.8</v>
      </c>
      <c r="J1030" s="66"/>
      <c r="K1030" s="67">
        <f t="shared" si="180"/>
        <v>186.8</v>
      </c>
      <c r="L1030" s="66"/>
      <c r="M1030" s="67">
        <f t="shared" si="181"/>
        <v>186.8</v>
      </c>
      <c r="N1030" s="66"/>
      <c r="O1030" s="67">
        <f t="shared" si="184"/>
        <v>186.8</v>
      </c>
    </row>
    <row r="1031" spans="1:15" ht="32.25" customHeight="1" x14ac:dyDescent="0.2">
      <c r="A1031" s="64" t="str">
        <f ca="1">IF(ISERROR(MATCH(E1031,Код_КЦСР,0)),"",INDIRECT(ADDRESS(MATCH(E1031,Код_КЦСР,0)+1,2,,,"КЦСР")))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1031" s="26">
        <v>808</v>
      </c>
      <c r="C1031" s="65" t="s">
        <v>79</v>
      </c>
      <c r="D1031" s="65" t="s">
        <v>70</v>
      </c>
      <c r="E1031" s="26" t="s">
        <v>395</v>
      </c>
      <c r="F1031" s="26"/>
      <c r="G1031" s="66">
        <f t="shared" ref="G1031:N1034" si="194">G1032</f>
        <v>322.2</v>
      </c>
      <c r="H1031" s="66">
        <f t="shared" si="194"/>
        <v>0</v>
      </c>
      <c r="I1031" s="67">
        <f t="shared" si="190"/>
        <v>322.2</v>
      </c>
      <c r="J1031" s="66">
        <f t="shared" si="194"/>
        <v>0</v>
      </c>
      <c r="K1031" s="67">
        <f t="shared" si="180"/>
        <v>322.2</v>
      </c>
      <c r="L1031" s="66">
        <f t="shared" si="194"/>
        <v>0</v>
      </c>
      <c r="M1031" s="67">
        <f t="shared" si="181"/>
        <v>322.2</v>
      </c>
      <c r="N1031" s="66">
        <f t="shared" si="194"/>
        <v>0</v>
      </c>
      <c r="O1031" s="67">
        <f t="shared" si="184"/>
        <v>322.2</v>
      </c>
    </row>
    <row r="1032" spans="1:15" x14ac:dyDescent="0.2">
      <c r="A1032" s="64" t="str">
        <f ca="1">IF(ISERROR(MATCH(E1032,Код_КЦСР,0)),"",INDIRECT(ADDRESS(MATCH(E1032,Код_КЦСР,0)+1,2,,,"КЦСР")))</f>
        <v>Профилактика преступлений и иных правонарушений в городе Череповце</v>
      </c>
      <c r="B1032" s="26">
        <v>808</v>
      </c>
      <c r="C1032" s="65" t="s">
        <v>79</v>
      </c>
      <c r="D1032" s="65" t="s">
        <v>70</v>
      </c>
      <c r="E1032" s="26" t="s">
        <v>397</v>
      </c>
      <c r="F1032" s="26"/>
      <c r="G1032" s="66">
        <f t="shared" si="194"/>
        <v>322.2</v>
      </c>
      <c r="H1032" s="66">
        <f t="shared" si="194"/>
        <v>0</v>
      </c>
      <c r="I1032" s="67">
        <f t="shared" si="190"/>
        <v>322.2</v>
      </c>
      <c r="J1032" s="66">
        <f t="shared" si="194"/>
        <v>0</v>
      </c>
      <c r="K1032" s="67">
        <f t="shared" si="180"/>
        <v>322.2</v>
      </c>
      <c r="L1032" s="66">
        <f t="shared" si="194"/>
        <v>0</v>
      </c>
      <c r="M1032" s="67">
        <f t="shared" si="181"/>
        <v>322.2</v>
      </c>
      <c r="N1032" s="66">
        <f t="shared" si="194"/>
        <v>0</v>
      </c>
      <c r="O1032" s="67">
        <f t="shared" si="184"/>
        <v>322.2</v>
      </c>
    </row>
    <row r="1033" spans="1:15" x14ac:dyDescent="0.2">
      <c r="A1033" s="64" t="str">
        <f ca="1">IF(ISERROR(MATCH(E1033,Код_КЦСР,0)),"",INDIRECT(ADDRESS(MATCH(E1033,Код_КЦСР,0)+1,2,,,"КЦСР")))</f>
        <v>Привлечение общественности к охране общественного порядка</v>
      </c>
      <c r="B1033" s="26">
        <v>808</v>
      </c>
      <c r="C1033" s="65" t="s">
        <v>79</v>
      </c>
      <c r="D1033" s="65" t="s">
        <v>70</v>
      </c>
      <c r="E1033" s="26" t="s">
        <v>398</v>
      </c>
      <c r="F1033" s="26"/>
      <c r="G1033" s="66">
        <f t="shared" si="194"/>
        <v>322.2</v>
      </c>
      <c r="H1033" s="66">
        <f t="shared" si="194"/>
        <v>0</v>
      </c>
      <c r="I1033" s="67">
        <f t="shared" si="190"/>
        <v>322.2</v>
      </c>
      <c r="J1033" s="66">
        <f t="shared" si="194"/>
        <v>0</v>
      </c>
      <c r="K1033" s="67">
        <f t="shared" si="180"/>
        <v>322.2</v>
      </c>
      <c r="L1033" s="66">
        <f t="shared" si="194"/>
        <v>0</v>
      </c>
      <c r="M1033" s="67">
        <f t="shared" si="181"/>
        <v>322.2</v>
      </c>
      <c r="N1033" s="66">
        <f t="shared" si="194"/>
        <v>0</v>
      </c>
      <c r="O1033" s="67">
        <f t="shared" si="184"/>
        <v>322.2</v>
      </c>
    </row>
    <row r="1034" spans="1:15" ht="33" x14ac:dyDescent="0.2">
      <c r="A1034" s="64" t="str">
        <f ca="1">IF(ISERROR(MATCH(F1034,Код_КВР,0)),"",INDIRECT(ADDRESS(MATCH(F1034,Код_КВР,0)+1,2,,,"КВР")))</f>
        <v>Предоставление субсидий бюджетным, автономным учреждениям и иным некоммерческим организациям</v>
      </c>
      <c r="B1034" s="26">
        <v>808</v>
      </c>
      <c r="C1034" s="65" t="s">
        <v>79</v>
      </c>
      <c r="D1034" s="65" t="s">
        <v>70</v>
      </c>
      <c r="E1034" s="26" t="s">
        <v>398</v>
      </c>
      <c r="F1034" s="26">
        <v>600</v>
      </c>
      <c r="G1034" s="66">
        <f t="shared" si="194"/>
        <v>322.2</v>
      </c>
      <c r="H1034" s="66">
        <f t="shared" si="194"/>
        <v>0</v>
      </c>
      <c r="I1034" s="67">
        <f t="shared" si="190"/>
        <v>322.2</v>
      </c>
      <c r="J1034" s="66">
        <f t="shared" si="194"/>
        <v>0</v>
      </c>
      <c r="K1034" s="67">
        <f t="shared" si="180"/>
        <v>322.2</v>
      </c>
      <c r="L1034" s="66">
        <f t="shared" si="194"/>
        <v>0</v>
      </c>
      <c r="M1034" s="67">
        <f t="shared" si="181"/>
        <v>322.2</v>
      </c>
      <c r="N1034" s="66">
        <f t="shared" si="194"/>
        <v>0</v>
      </c>
      <c r="O1034" s="67">
        <f t="shared" si="184"/>
        <v>322.2</v>
      </c>
    </row>
    <row r="1035" spans="1:15" x14ac:dyDescent="0.2">
      <c r="A1035" s="64" t="str">
        <f ca="1">IF(ISERROR(MATCH(F1035,Код_КВР,0)),"",INDIRECT(ADDRESS(MATCH(F1035,Код_КВР,0)+1,2,,,"КВР")))</f>
        <v>Субсидии бюджетным учреждениям</v>
      </c>
      <c r="B1035" s="26">
        <v>808</v>
      </c>
      <c r="C1035" s="65" t="s">
        <v>79</v>
      </c>
      <c r="D1035" s="65" t="s">
        <v>70</v>
      </c>
      <c r="E1035" s="26" t="s">
        <v>398</v>
      </c>
      <c r="F1035" s="26">
        <v>610</v>
      </c>
      <c r="G1035" s="66">
        <v>322.2</v>
      </c>
      <c r="H1035" s="66"/>
      <c r="I1035" s="67">
        <f t="shared" si="190"/>
        <v>322.2</v>
      </c>
      <c r="J1035" s="66"/>
      <c r="K1035" s="67">
        <f t="shared" si="180"/>
        <v>322.2</v>
      </c>
      <c r="L1035" s="66"/>
      <c r="M1035" s="67">
        <f t="shared" si="181"/>
        <v>322.2</v>
      </c>
      <c r="N1035" s="66"/>
      <c r="O1035" s="67">
        <f t="shared" si="184"/>
        <v>322.2</v>
      </c>
    </row>
    <row r="1036" spans="1:15" x14ac:dyDescent="0.2">
      <c r="A1036" s="74" t="s">
        <v>34</v>
      </c>
      <c r="B1036" s="26">
        <v>808</v>
      </c>
      <c r="C1036" s="65" t="s">
        <v>79</v>
      </c>
      <c r="D1036" s="65" t="s">
        <v>73</v>
      </c>
      <c r="E1036" s="26"/>
      <c r="F1036" s="26"/>
      <c r="G1036" s="66">
        <f>G1037</f>
        <v>67111.700000000012</v>
      </c>
      <c r="H1036" s="66">
        <f>H1037</f>
        <v>0</v>
      </c>
      <c r="I1036" s="67">
        <f t="shared" si="190"/>
        <v>67111.700000000012</v>
      </c>
      <c r="J1036" s="66">
        <f>J1037</f>
        <v>0</v>
      </c>
      <c r="K1036" s="67">
        <f t="shared" ref="K1036:K1099" si="195">I1036+J1036</f>
        <v>67111.700000000012</v>
      </c>
      <c r="L1036" s="66">
        <f>L1037</f>
        <v>-559.1</v>
      </c>
      <c r="M1036" s="67">
        <f t="shared" ref="M1036:M1099" si="196">K1036+L1036</f>
        <v>66552.600000000006</v>
      </c>
      <c r="N1036" s="66">
        <f>N1037</f>
        <v>-188</v>
      </c>
      <c r="O1036" s="67">
        <f t="shared" si="184"/>
        <v>66364.600000000006</v>
      </c>
    </row>
    <row r="1037" spans="1:15" ht="33" x14ac:dyDescent="0.2">
      <c r="A1037" s="64" t="str">
        <f ca="1">IF(ISERROR(MATCH(E1037,Код_КЦСР,0)),"",INDIRECT(ADDRESS(MATCH(E1037,Код_КЦСР,0)+1,2,,,"КЦСР")))</f>
        <v>Муниципальная программа «Развитие культуры и туризма в городе Череповце» на 2016 – 2022 годы</v>
      </c>
      <c r="B1037" s="26">
        <v>808</v>
      </c>
      <c r="C1037" s="65" t="s">
        <v>79</v>
      </c>
      <c r="D1037" s="65" t="s">
        <v>73</v>
      </c>
      <c r="E1037" s="26" t="s">
        <v>232</v>
      </c>
      <c r="F1037" s="26"/>
      <c r="G1037" s="66">
        <f>G1038+G1044</f>
        <v>67111.700000000012</v>
      </c>
      <c r="H1037" s="66">
        <f>H1038+H1044</f>
        <v>0</v>
      </c>
      <c r="I1037" s="67">
        <f t="shared" si="190"/>
        <v>67111.700000000012</v>
      </c>
      <c r="J1037" s="66">
        <f>J1038+J1044</f>
        <v>0</v>
      </c>
      <c r="K1037" s="67">
        <f t="shared" si="195"/>
        <v>67111.700000000012</v>
      </c>
      <c r="L1037" s="66">
        <f>L1038+L1044</f>
        <v>-559.1</v>
      </c>
      <c r="M1037" s="67">
        <f t="shared" si="196"/>
        <v>66552.600000000006</v>
      </c>
      <c r="N1037" s="66">
        <f>N1038+N1044</f>
        <v>-188</v>
      </c>
      <c r="O1037" s="67">
        <f t="shared" si="184"/>
        <v>66364.600000000006</v>
      </c>
    </row>
    <row r="1038" spans="1:15" ht="33" x14ac:dyDescent="0.2">
      <c r="A1038" s="64" t="str">
        <f ca="1">IF(ISERROR(MATCH(E1038,Код_КЦСР,0)),"",INDIRECT(ADDRESS(MATCH(E1038,Код_КЦСР,0)+1,2,,,"КЦСР")))</f>
        <v>Организация работы по реализации целей, задач управления и выполнения его функциональных обязанностей</v>
      </c>
      <c r="B1038" s="26">
        <v>808</v>
      </c>
      <c r="C1038" s="65" t="s">
        <v>79</v>
      </c>
      <c r="D1038" s="65" t="s">
        <v>73</v>
      </c>
      <c r="E1038" s="26" t="s">
        <v>266</v>
      </c>
      <c r="F1038" s="26"/>
      <c r="G1038" s="66">
        <f>G1039</f>
        <v>5572.5</v>
      </c>
      <c r="H1038" s="66">
        <f>H1039</f>
        <v>0</v>
      </c>
      <c r="I1038" s="67">
        <f t="shared" si="190"/>
        <v>5572.5</v>
      </c>
      <c r="J1038" s="66">
        <f>J1039</f>
        <v>0</v>
      </c>
      <c r="K1038" s="67">
        <f t="shared" si="195"/>
        <v>5572.5</v>
      </c>
      <c r="L1038" s="66">
        <f>L1039</f>
        <v>0</v>
      </c>
      <c r="M1038" s="67">
        <f t="shared" si="196"/>
        <v>5572.5</v>
      </c>
      <c r="N1038" s="66">
        <f>N1039</f>
        <v>0</v>
      </c>
      <c r="O1038" s="67">
        <f t="shared" si="184"/>
        <v>5572.5</v>
      </c>
    </row>
    <row r="1039" spans="1:15" x14ac:dyDescent="0.2">
      <c r="A1039" s="64" t="str">
        <f ca="1">IF(ISERROR(MATCH(E1039,Код_КЦСР,0)),"",INDIRECT(ADDRESS(MATCH(E1039,Код_КЦСР,0)+1,2,,,"КЦСР")))</f>
        <v>Расходы на обеспечение функций органов местного самоуправления</v>
      </c>
      <c r="B1039" s="26">
        <v>808</v>
      </c>
      <c r="C1039" s="65" t="s">
        <v>79</v>
      </c>
      <c r="D1039" s="65" t="s">
        <v>73</v>
      </c>
      <c r="E1039" s="26" t="s">
        <v>267</v>
      </c>
      <c r="F1039" s="26"/>
      <c r="G1039" s="66">
        <f>G1040+G1042</f>
        <v>5572.5</v>
      </c>
      <c r="H1039" s="66">
        <f>H1040+H1042</f>
        <v>0</v>
      </c>
      <c r="I1039" s="67">
        <f t="shared" si="190"/>
        <v>5572.5</v>
      </c>
      <c r="J1039" s="66">
        <f>J1040+J1042</f>
        <v>0</v>
      </c>
      <c r="K1039" s="67">
        <f t="shared" si="195"/>
        <v>5572.5</v>
      </c>
      <c r="L1039" s="66">
        <f>L1040+L1042</f>
        <v>0</v>
      </c>
      <c r="M1039" s="67">
        <f t="shared" si="196"/>
        <v>5572.5</v>
      </c>
      <c r="N1039" s="66">
        <f>N1040+N1042</f>
        <v>0</v>
      </c>
      <c r="O1039" s="67">
        <f t="shared" si="184"/>
        <v>5572.5</v>
      </c>
    </row>
    <row r="1040" spans="1:15" ht="49.5" x14ac:dyDescent="0.2">
      <c r="A1040" s="64" t="str">
        <f ca="1">IF(ISERROR(MATCH(F1040,Код_КВР,0)),"",INDIRECT(ADDRESS(MATCH(F1040,Код_КВР,0)+1,2,,,"КВР")))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40" s="26">
        <v>808</v>
      </c>
      <c r="C1040" s="65" t="s">
        <v>79</v>
      </c>
      <c r="D1040" s="65" t="s">
        <v>73</v>
      </c>
      <c r="E1040" s="26" t="s">
        <v>267</v>
      </c>
      <c r="F1040" s="26">
        <v>100</v>
      </c>
      <c r="G1040" s="66">
        <f>G1041</f>
        <v>5561</v>
      </c>
      <c r="H1040" s="66">
        <f>H1041</f>
        <v>0</v>
      </c>
      <c r="I1040" s="67">
        <f t="shared" si="190"/>
        <v>5561</v>
      </c>
      <c r="J1040" s="66">
        <f>J1041</f>
        <v>0</v>
      </c>
      <c r="K1040" s="67">
        <f t="shared" si="195"/>
        <v>5561</v>
      </c>
      <c r="L1040" s="66">
        <f>L1041</f>
        <v>0</v>
      </c>
      <c r="M1040" s="67">
        <f t="shared" si="196"/>
        <v>5561</v>
      </c>
      <c r="N1040" s="66">
        <f>N1041</f>
        <v>0</v>
      </c>
      <c r="O1040" s="67">
        <f t="shared" si="184"/>
        <v>5561</v>
      </c>
    </row>
    <row r="1041" spans="1:15" x14ac:dyDescent="0.2">
      <c r="A1041" s="64" t="str">
        <f ca="1">IF(ISERROR(MATCH(F1041,Код_КВР,0)),"",INDIRECT(ADDRESS(MATCH(F1041,Код_КВР,0)+1,2,,,"КВР")))</f>
        <v>Расходы на выплаты персоналу государственных (муниципальных) органов</v>
      </c>
      <c r="B1041" s="26">
        <v>808</v>
      </c>
      <c r="C1041" s="65" t="s">
        <v>79</v>
      </c>
      <c r="D1041" s="65" t="s">
        <v>73</v>
      </c>
      <c r="E1041" s="26" t="s">
        <v>267</v>
      </c>
      <c r="F1041" s="26">
        <v>120</v>
      </c>
      <c r="G1041" s="66">
        <f>4251.5+1284+25.5</f>
        <v>5561</v>
      </c>
      <c r="H1041" s="66"/>
      <c r="I1041" s="67">
        <f t="shared" si="190"/>
        <v>5561</v>
      </c>
      <c r="J1041" s="66"/>
      <c r="K1041" s="67">
        <f t="shared" si="195"/>
        <v>5561</v>
      </c>
      <c r="L1041" s="66"/>
      <c r="M1041" s="67">
        <f t="shared" si="196"/>
        <v>5561</v>
      </c>
      <c r="N1041" s="66"/>
      <c r="O1041" s="67">
        <f t="shared" si="184"/>
        <v>5561</v>
      </c>
    </row>
    <row r="1042" spans="1:15" ht="33" x14ac:dyDescent="0.2">
      <c r="A1042" s="64" t="str">
        <f ca="1">IF(ISERROR(MATCH(F1042,Код_КВР,0)),"",INDIRECT(ADDRESS(MATCH(F1042,Код_КВР,0)+1,2,,,"КВР")))</f>
        <v>Закупка товаров, работ и услуг для обеспечения государственных (муниципальных) нужд</v>
      </c>
      <c r="B1042" s="26">
        <v>808</v>
      </c>
      <c r="C1042" s="65" t="s">
        <v>79</v>
      </c>
      <c r="D1042" s="65" t="s">
        <v>73</v>
      </c>
      <c r="E1042" s="26" t="s">
        <v>267</v>
      </c>
      <c r="F1042" s="26">
        <v>200</v>
      </c>
      <c r="G1042" s="66">
        <f>G1043</f>
        <v>11.5</v>
      </c>
      <c r="H1042" s="66">
        <f>H1043</f>
        <v>0</v>
      </c>
      <c r="I1042" s="67">
        <f t="shared" si="190"/>
        <v>11.5</v>
      </c>
      <c r="J1042" s="66">
        <f>J1043</f>
        <v>0</v>
      </c>
      <c r="K1042" s="67">
        <f t="shared" si="195"/>
        <v>11.5</v>
      </c>
      <c r="L1042" s="66">
        <f>L1043</f>
        <v>0</v>
      </c>
      <c r="M1042" s="67">
        <f t="shared" si="196"/>
        <v>11.5</v>
      </c>
      <c r="N1042" s="66">
        <f>N1043</f>
        <v>0</v>
      </c>
      <c r="O1042" s="67">
        <f t="shared" si="184"/>
        <v>11.5</v>
      </c>
    </row>
    <row r="1043" spans="1:15" ht="33" x14ac:dyDescent="0.2">
      <c r="A1043" s="64" t="str">
        <f ca="1">IF(ISERROR(MATCH(F1043,Код_КВР,0)),"",INDIRECT(ADDRESS(MATCH(F1043,Код_КВР,0)+1,2,,,"КВР")))</f>
        <v>Иные закупки товаров, работ и услуг для обеспечения государственных (муниципальных) нужд</v>
      </c>
      <c r="B1043" s="26">
        <v>808</v>
      </c>
      <c r="C1043" s="65" t="s">
        <v>79</v>
      </c>
      <c r="D1043" s="65" t="s">
        <v>73</v>
      </c>
      <c r="E1043" s="26" t="s">
        <v>267</v>
      </c>
      <c r="F1043" s="26">
        <v>240</v>
      </c>
      <c r="G1043" s="66">
        <f>10+1.5</f>
        <v>11.5</v>
      </c>
      <c r="H1043" s="66"/>
      <c r="I1043" s="67">
        <f t="shared" si="190"/>
        <v>11.5</v>
      </c>
      <c r="J1043" s="66"/>
      <c r="K1043" s="67">
        <f t="shared" si="195"/>
        <v>11.5</v>
      </c>
      <c r="L1043" s="66"/>
      <c r="M1043" s="67">
        <f t="shared" si="196"/>
        <v>11.5</v>
      </c>
      <c r="N1043" s="66"/>
      <c r="O1043" s="67">
        <f t="shared" ref="O1043:O1106" si="197">M1043+N1043</f>
        <v>11.5</v>
      </c>
    </row>
    <row r="1044" spans="1:15" ht="33" x14ac:dyDescent="0.2">
      <c r="A1044" s="64" t="str">
        <f ca="1">IF(ISERROR(MATCH(E1044,Код_КЦСР,0)),"",INDIRECT(ADDRESS(MATCH(E1044,Код_КЦСР,0)+1,2,,,"КЦСР")))</f>
        <v xml:space="preserve">Организация работы по ведению бухгалтерского (бюджетного) учета и отчетности и обеспечение деятельности МКУ «ЦБ ОУК» </v>
      </c>
      <c r="B1044" s="26">
        <v>808</v>
      </c>
      <c r="C1044" s="65" t="s">
        <v>79</v>
      </c>
      <c r="D1044" s="65" t="s">
        <v>73</v>
      </c>
      <c r="E1044" s="26" t="s">
        <v>268</v>
      </c>
      <c r="F1044" s="26"/>
      <c r="G1044" s="66">
        <f>G1045+G1047+G1049</f>
        <v>61539.200000000004</v>
      </c>
      <c r="H1044" s="66">
        <f>H1045+H1047+H1049</f>
        <v>0</v>
      </c>
      <c r="I1044" s="67">
        <f t="shared" si="190"/>
        <v>61539.200000000004</v>
      </c>
      <c r="J1044" s="66">
        <f>J1045+J1047+J1049</f>
        <v>0</v>
      </c>
      <c r="K1044" s="67">
        <f t="shared" si="195"/>
        <v>61539.200000000004</v>
      </c>
      <c r="L1044" s="66">
        <f>L1045+L1047+L1049</f>
        <v>-559.1</v>
      </c>
      <c r="M1044" s="67">
        <f t="shared" si="196"/>
        <v>60980.100000000006</v>
      </c>
      <c r="N1044" s="66">
        <f>N1045+N1047+N1049</f>
        <v>-188</v>
      </c>
      <c r="O1044" s="67">
        <f t="shared" si="197"/>
        <v>60792.100000000006</v>
      </c>
    </row>
    <row r="1045" spans="1:15" ht="49.5" x14ac:dyDescent="0.2">
      <c r="A1045" s="64" t="str">
        <f t="shared" ref="A1045:A1050" ca="1" si="198">IF(ISERROR(MATCH(F1045,Код_КВР,0)),"",INDIRECT(ADDRESS(MATCH(F1045,Код_КВР,0)+1,2,,,"КВР")))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45" s="26">
        <v>808</v>
      </c>
      <c r="C1045" s="65" t="s">
        <v>79</v>
      </c>
      <c r="D1045" s="65" t="s">
        <v>73</v>
      </c>
      <c r="E1045" s="26" t="s">
        <v>268</v>
      </c>
      <c r="F1045" s="26">
        <v>100</v>
      </c>
      <c r="G1045" s="66">
        <f>G1046</f>
        <v>58800.200000000004</v>
      </c>
      <c r="H1045" s="66">
        <f>H1046</f>
        <v>0</v>
      </c>
      <c r="I1045" s="67">
        <f t="shared" si="190"/>
        <v>58800.200000000004</v>
      </c>
      <c r="J1045" s="66">
        <f>J1046</f>
        <v>0</v>
      </c>
      <c r="K1045" s="67">
        <f t="shared" si="195"/>
        <v>58800.200000000004</v>
      </c>
      <c r="L1045" s="66">
        <f>L1046</f>
        <v>-547.1</v>
      </c>
      <c r="M1045" s="67">
        <f t="shared" si="196"/>
        <v>58253.100000000006</v>
      </c>
      <c r="N1045" s="66">
        <f>N1046</f>
        <v>-188</v>
      </c>
      <c r="O1045" s="67">
        <f t="shared" si="197"/>
        <v>58065.100000000006</v>
      </c>
    </row>
    <row r="1046" spans="1:15" x14ac:dyDescent="0.2">
      <c r="A1046" s="64" t="str">
        <f t="shared" ca="1" si="198"/>
        <v>Расходы на выплаты персоналу казенных учреждений</v>
      </c>
      <c r="B1046" s="26">
        <v>808</v>
      </c>
      <c r="C1046" s="65" t="s">
        <v>79</v>
      </c>
      <c r="D1046" s="65" t="s">
        <v>73</v>
      </c>
      <c r="E1046" s="26" t="s">
        <v>268</v>
      </c>
      <c r="F1046" s="26">
        <v>110</v>
      </c>
      <c r="G1046" s="66">
        <f>10973.4+3314+5702.3+1722+49.4+28448+8591.1</f>
        <v>58800.200000000004</v>
      </c>
      <c r="H1046" s="66"/>
      <c r="I1046" s="67">
        <f t="shared" si="190"/>
        <v>58800.200000000004</v>
      </c>
      <c r="J1046" s="66"/>
      <c r="K1046" s="67">
        <f t="shared" si="195"/>
        <v>58800.200000000004</v>
      </c>
      <c r="L1046" s="66">
        <v>-547.1</v>
      </c>
      <c r="M1046" s="67">
        <f t="shared" si="196"/>
        <v>58253.100000000006</v>
      </c>
      <c r="N1046" s="66">
        <f>-144.4-43.6</f>
        <v>-188</v>
      </c>
      <c r="O1046" s="67">
        <f t="shared" si="197"/>
        <v>58065.100000000006</v>
      </c>
    </row>
    <row r="1047" spans="1:15" ht="33" x14ac:dyDescent="0.2">
      <c r="A1047" s="64" t="str">
        <f t="shared" ca="1" si="198"/>
        <v>Закупка товаров, работ и услуг для обеспечения государственных (муниципальных) нужд</v>
      </c>
      <c r="B1047" s="26">
        <v>808</v>
      </c>
      <c r="C1047" s="65" t="s">
        <v>79</v>
      </c>
      <c r="D1047" s="65" t="s">
        <v>73</v>
      </c>
      <c r="E1047" s="26" t="s">
        <v>268</v>
      </c>
      <c r="F1047" s="26">
        <v>200</v>
      </c>
      <c r="G1047" s="66">
        <f>G1048</f>
        <v>2417.9</v>
      </c>
      <c r="H1047" s="66">
        <f>H1048</f>
        <v>0</v>
      </c>
      <c r="I1047" s="67">
        <f t="shared" si="190"/>
        <v>2417.9</v>
      </c>
      <c r="J1047" s="66">
        <f>J1048</f>
        <v>0</v>
      </c>
      <c r="K1047" s="67">
        <f t="shared" si="195"/>
        <v>2417.9</v>
      </c>
      <c r="L1047" s="66">
        <f>L1048</f>
        <v>-12</v>
      </c>
      <c r="M1047" s="67">
        <f t="shared" si="196"/>
        <v>2405.9</v>
      </c>
      <c r="N1047" s="66">
        <f>N1048</f>
        <v>0</v>
      </c>
      <c r="O1047" s="67">
        <f t="shared" si="197"/>
        <v>2405.9</v>
      </c>
    </row>
    <row r="1048" spans="1:15" ht="33" x14ac:dyDescent="0.2">
      <c r="A1048" s="64" t="str">
        <f t="shared" ca="1" si="198"/>
        <v>Иные закупки товаров, работ и услуг для обеспечения государственных (муниципальных) нужд</v>
      </c>
      <c r="B1048" s="26">
        <v>808</v>
      </c>
      <c r="C1048" s="65" t="s">
        <v>79</v>
      </c>
      <c r="D1048" s="65" t="s">
        <v>73</v>
      </c>
      <c r="E1048" s="26" t="s">
        <v>268</v>
      </c>
      <c r="F1048" s="26">
        <v>240</v>
      </c>
      <c r="G1048" s="66">
        <f>77.1+261.7+282.1+334.6+48+10.6+760.6+104.6+278+168.1+92.5</f>
        <v>2417.9</v>
      </c>
      <c r="H1048" s="66"/>
      <c r="I1048" s="67">
        <f t="shared" si="190"/>
        <v>2417.9</v>
      </c>
      <c r="J1048" s="66"/>
      <c r="K1048" s="67">
        <f t="shared" si="195"/>
        <v>2417.9</v>
      </c>
      <c r="L1048" s="66">
        <v>-12</v>
      </c>
      <c r="M1048" s="67">
        <f t="shared" si="196"/>
        <v>2405.9</v>
      </c>
      <c r="N1048" s="66"/>
      <c r="O1048" s="67">
        <f t="shared" si="197"/>
        <v>2405.9</v>
      </c>
    </row>
    <row r="1049" spans="1:15" x14ac:dyDescent="0.2">
      <c r="A1049" s="64" t="str">
        <f t="shared" ca="1" si="198"/>
        <v>Иные бюджетные ассигнования</v>
      </c>
      <c r="B1049" s="26">
        <v>808</v>
      </c>
      <c r="C1049" s="65" t="s">
        <v>79</v>
      </c>
      <c r="D1049" s="65" t="s">
        <v>73</v>
      </c>
      <c r="E1049" s="26" t="s">
        <v>268</v>
      </c>
      <c r="F1049" s="26">
        <v>800</v>
      </c>
      <c r="G1049" s="66">
        <f>G1050</f>
        <v>321.10000000000002</v>
      </c>
      <c r="H1049" s="66">
        <f>H1050</f>
        <v>0</v>
      </c>
      <c r="I1049" s="67">
        <f t="shared" si="190"/>
        <v>321.10000000000002</v>
      </c>
      <c r="J1049" s="66">
        <f>J1050</f>
        <v>0</v>
      </c>
      <c r="K1049" s="67">
        <f t="shared" si="195"/>
        <v>321.10000000000002</v>
      </c>
      <c r="L1049" s="66">
        <f>L1050</f>
        <v>0</v>
      </c>
      <c r="M1049" s="67">
        <f t="shared" si="196"/>
        <v>321.10000000000002</v>
      </c>
      <c r="N1049" s="66">
        <f>N1050</f>
        <v>0</v>
      </c>
      <c r="O1049" s="67">
        <f t="shared" si="197"/>
        <v>321.10000000000002</v>
      </c>
    </row>
    <row r="1050" spans="1:15" x14ac:dyDescent="0.2">
      <c r="A1050" s="64" t="str">
        <f t="shared" ca="1" si="198"/>
        <v>Уплата налогов, сборов и иных платежей</v>
      </c>
      <c r="B1050" s="26">
        <v>808</v>
      </c>
      <c r="C1050" s="65" t="s">
        <v>79</v>
      </c>
      <c r="D1050" s="65" t="s">
        <v>73</v>
      </c>
      <c r="E1050" s="26" t="s">
        <v>268</v>
      </c>
      <c r="F1050" s="26">
        <v>850</v>
      </c>
      <c r="G1050" s="66">
        <f>282.9+37.1+1.1</f>
        <v>321.10000000000002</v>
      </c>
      <c r="H1050" s="66"/>
      <c r="I1050" s="67">
        <f t="shared" si="190"/>
        <v>321.10000000000002</v>
      </c>
      <c r="J1050" s="66"/>
      <c r="K1050" s="67">
        <f t="shared" si="195"/>
        <v>321.10000000000002</v>
      </c>
      <c r="L1050" s="66"/>
      <c r="M1050" s="67">
        <f t="shared" si="196"/>
        <v>321.10000000000002</v>
      </c>
      <c r="N1050" s="66"/>
      <c r="O1050" s="67">
        <f t="shared" si="197"/>
        <v>321.10000000000002</v>
      </c>
    </row>
    <row r="1051" spans="1:15" x14ac:dyDescent="0.2">
      <c r="A1051" s="64" t="str">
        <f ca="1">IF(ISERROR(MATCH(B1051,Код_ППП,0)),"",INDIRECT(ADDRESS(MATCH(B1051,Код_ППП,0)+1,2,,,"ППП")))</f>
        <v>КОМИТЕТ ПО ФИЗИЧЕСКОЙ КУЛЬТУРЕ И СПОРТУ МЭРИИ ГОРОДА</v>
      </c>
      <c r="B1051" s="26">
        <v>809</v>
      </c>
      <c r="C1051" s="65"/>
      <c r="D1051" s="65"/>
      <c r="E1051" s="26"/>
      <c r="F1051" s="26"/>
      <c r="G1051" s="66">
        <f>G1052+G1065</f>
        <v>332855.8</v>
      </c>
      <c r="H1051" s="66">
        <f>H1052+H1065</f>
        <v>0</v>
      </c>
      <c r="I1051" s="67">
        <f t="shared" si="190"/>
        <v>332855.8</v>
      </c>
      <c r="J1051" s="66">
        <f>J1052+J1065</f>
        <v>0</v>
      </c>
      <c r="K1051" s="67">
        <f t="shared" si="195"/>
        <v>332855.8</v>
      </c>
      <c r="L1051" s="66">
        <f>L1052+L1065</f>
        <v>4367.2</v>
      </c>
      <c r="M1051" s="67">
        <f t="shared" si="196"/>
        <v>337223</v>
      </c>
      <c r="N1051" s="66">
        <f>N1052+N1065</f>
        <v>0</v>
      </c>
      <c r="O1051" s="67">
        <f t="shared" si="197"/>
        <v>337223</v>
      </c>
    </row>
    <row r="1052" spans="1:15" x14ac:dyDescent="0.2">
      <c r="A1052" s="64" t="str">
        <f ca="1">IF(ISERROR(MATCH(C1052,Код_Раздел,0)),"",INDIRECT(ADDRESS(MATCH(C1052,Код_Раздел,0)+1,2,,,"Раздел")))</f>
        <v>Образование</v>
      </c>
      <c r="B1052" s="26">
        <v>809</v>
      </c>
      <c r="C1052" s="65" t="s">
        <v>60</v>
      </c>
      <c r="D1052" s="65"/>
      <c r="E1052" s="26"/>
      <c r="F1052" s="26"/>
      <c r="G1052" s="66">
        <f>G1053+G1059</f>
        <v>138112.29999999999</v>
      </c>
      <c r="H1052" s="66">
        <f>H1053+H1059</f>
        <v>0</v>
      </c>
      <c r="I1052" s="67">
        <f t="shared" si="190"/>
        <v>138112.29999999999</v>
      </c>
      <c r="J1052" s="66">
        <f>J1053+J1059</f>
        <v>0</v>
      </c>
      <c r="K1052" s="67">
        <f t="shared" si="195"/>
        <v>138112.29999999999</v>
      </c>
      <c r="L1052" s="66">
        <f>L1053+L1059</f>
        <v>4367.2</v>
      </c>
      <c r="M1052" s="67">
        <f t="shared" si="196"/>
        <v>142479.5</v>
      </c>
      <c r="N1052" s="66">
        <f>N1053+N1059</f>
        <v>0</v>
      </c>
      <c r="O1052" s="67">
        <f t="shared" si="197"/>
        <v>142479.5</v>
      </c>
    </row>
    <row r="1053" spans="1:15" x14ac:dyDescent="0.2">
      <c r="A1053" s="74" t="s">
        <v>465</v>
      </c>
      <c r="B1053" s="26">
        <v>809</v>
      </c>
      <c r="C1053" s="65" t="s">
        <v>60</v>
      </c>
      <c r="D1053" s="65" t="s">
        <v>72</v>
      </c>
      <c r="E1053" s="26"/>
      <c r="F1053" s="26"/>
      <c r="G1053" s="66">
        <f t="shared" ref="G1053:N1055" si="199">G1054</f>
        <v>137344.5</v>
      </c>
      <c r="H1053" s="66">
        <f t="shared" si="199"/>
        <v>0</v>
      </c>
      <c r="I1053" s="67">
        <f t="shared" si="190"/>
        <v>137344.5</v>
      </c>
      <c r="J1053" s="66">
        <f t="shared" si="199"/>
        <v>0</v>
      </c>
      <c r="K1053" s="67">
        <f t="shared" si="195"/>
        <v>137344.5</v>
      </c>
      <c r="L1053" s="66">
        <f t="shared" si="199"/>
        <v>4367.2</v>
      </c>
      <c r="M1053" s="67">
        <f t="shared" si="196"/>
        <v>141711.70000000001</v>
      </c>
      <c r="N1053" s="66">
        <f t="shared" si="199"/>
        <v>0</v>
      </c>
      <c r="O1053" s="67">
        <f t="shared" si="197"/>
        <v>141711.70000000001</v>
      </c>
    </row>
    <row r="1054" spans="1:15" ht="33" x14ac:dyDescent="0.2">
      <c r="A1054" s="64" t="str">
        <f ca="1">IF(ISERROR(MATCH(E1054,Код_КЦСР,0)),"",INDIRECT(ADDRESS(MATCH(E1054,Код_КЦСР,0)+1,2,,,"КЦСР")))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1054" s="26">
        <v>809</v>
      </c>
      <c r="C1054" s="65" t="s">
        <v>60</v>
      </c>
      <c r="D1054" s="65" t="s">
        <v>72</v>
      </c>
      <c r="E1054" s="26" t="s">
        <v>269</v>
      </c>
      <c r="F1054" s="26"/>
      <c r="G1054" s="66">
        <f t="shared" si="199"/>
        <v>137344.5</v>
      </c>
      <c r="H1054" s="66">
        <f t="shared" si="199"/>
        <v>0</v>
      </c>
      <c r="I1054" s="67">
        <f t="shared" si="190"/>
        <v>137344.5</v>
      </c>
      <c r="J1054" s="66">
        <f t="shared" si="199"/>
        <v>0</v>
      </c>
      <c r="K1054" s="67">
        <f t="shared" si="195"/>
        <v>137344.5</v>
      </c>
      <c r="L1054" s="66">
        <f t="shared" si="199"/>
        <v>4367.2</v>
      </c>
      <c r="M1054" s="67">
        <f t="shared" si="196"/>
        <v>141711.70000000001</v>
      </c>
      <c r="N1054" s="66">
        <f t="shared" si="199"/>
        <v>0</v>
      </c>
      <c r="O1054" s="67">
        <f t="shared" si="197"/>
        <v>141711.70000000001</v>
      </c>
    </row>
    <row r="1055" spans="1:15" ht="49.5" x14ac:dyDescent="0.2">
      <c r="A1055" s="64" t="str">
        <f ca="1">IF(ISERROR(MATCH(E1055,Код_КЦСР,0)),"",INDIRECT(ADDRESS(MATCH(E1055,Код_КЦСР,0)+1,2,,,"КЦСР")))</f>
        <v>Развитие детско-юношеского и массового спорта, в том числе: реализация дополнительных общеобразовательных общеразвивающих программ, реализация дополнительных предпрофессиональных программ</v>
      </c>
      <c r="B1055" s="26">
        <v>809</v>
      </c>
      <c r="C1055" s="65" t="s">
        <v>60</v>
      </c>
      <c r="D1055" s="65" t="s">
        <v>72</v>
      </c>
      <c r="E1055" s="26" t="s">
        <v>273</v>
      </c>
      <c r="F1055" s="26"/>
      <c r="G1055" s="66">
        <f t="shared" si="199"/>
        <v>137344.5</v>
      </c>
      <c r="H1055" s="66">
        <f t="shared" si="199"/>
        <v>0</v>
      </c>
      <c r="I1055" s="67">
        <f t="shared" si="190"/>
        <v>137344.5</v>
      </c>
      <c r="J1055" s="66">
        <f t="shared" si="199"/>
        <v>0</v>
      </c>
      <c r="K1055" s="67">
        <f t="shared" si="195"/>
        <v>137344.5</v>
      </c>
      <c r="L1055" s="66">
        <f t="shared" si="199"/>
        <v>4367.2</v>
      </c>
      <c r="M1055" s="67">
        <f t="shared" si="196"/>
        <v>141711.70000000001</v>
      </c>
      <c r="N1055" s="66">
        <f t="shared" si="199"/>
        <v>0</v>
      </c>
      <c r="O1055" s="67">
        <f t="shared" si="197"/>
        <v>141711.70000000001</v>
      </c>
    </row>
    <row r="1056" spans="1:15" ht="33" x14ac:dyDescent="0.2">
      <c r="A1056" s="64" t="str">
        <f ca="1">IF(ISERROR(MATCH(F1056,Код_КВР,0)),"",INDIRECT(ADDRESS(MATCH(F1056,Код_КВР,0)+1,2,,,"КВР")))</f>
        <v>Предоставление субсидий бюджетным, автономным учреждениям и иным некоммерческим организациям</v>
      </c>
      <c r="B1056" s="26">
        <v>809</v>
      </c>
      <c r="C1056" s="76" t="s">
        <v>60</v>
      </c>
      <c r="D1056" s="65" t="s">
        <v>72</v>
      </c>
      <c r="E1056" s="26" t="s">
        <v>273</v>
      </c>
      <c r="F1056" s="26">
        <v>600</v>
      </c>
      <c r="G1056" s="66">
        <f>G1057+G1058</f>
        <v>137344.5</v>
      </c>
      <c r="H1056" s="66">
        <f>H1057+H1058</f>
        <v>0</v>
      </c>
      <c r="I1056" s="67">
        <f t="shared" si="190"/>
        <v>137344.5</v>
      </c>
      <c r="J1056" s="66">
        <f>J1057+J1058</f>
        <v>0</v>
      </c>
      <c r="K1056" s="67">
        <f t="shared" si="195"/>
        <v>137344.5</v>
      </c>
      <c r="L1056" s="66">
        <f>L1057+L1058</f>
        <v>4367.2</v>
      </c>
      <c r="M1056" s="67">
        <f t="shared" si="196"/>
        <v>141711.70000000001</v>
      </c>
      <c r="N1056" s="66">
        <f>N1057+N1058</f>
        <v>0</v>
      </c>
      <c r="O1056" s="67">
        <f t="shared" si="197"/>
        <v>141711.70000000001</v>
      </c>
    </row>
    <row r="1057" spans="1:15" x14ac:dyDescent="0.2">
      <c r="A1057" s="64" t="str">
        <f ca="1">IF(ISERROR(MATCH(F1057,Код_КВР,0)),"",INDIRECT(ADDRESS(MATCH(F1057,Код_КВР,0)+1,2,,,"КВР")))</f>
        <v>Субсидии бюджетным учреждениям</v>
      </c>
      <c r="B1057" s="26">
        <v>809</v>
      </c>
      <c r="C1057" s="76" t="s">
        <v>60</v>
      </c>
      <c r="D1057" s="65" t="s">
        <v>72</v>
      </c>
      <c r="E1057" s="26" t="s">
        <v>273</v>
      </c>
      <c r="F1057" s="26">
        <v>610</v>
      </c>
      <c r="G1057" s="66">
        <f>98301.3+8738</f>
        <v>107039.3</v>
      </c>
      <c r="H1057" s="66"/>
      <c r="I1057" s="67">
        <f t="shared" si="190"/>
        <v>107039.3</v>
      </c>
      <c r="J1057" s="66"/>
      <c r="K1057" s="67">
        <f t="shared" si="195"/>
        <v>107039.3</v>
      </c>
      <c r="L1057" s="66">
        <v>4367.2</v>
      </c>
      <c r="M1057" s="67">
        <f t="shared" si="196"/>
        <v>111406.5</v>
      </c>
      <c r="N1057" s="66"/>
      <c r="O1057" s="67">
        <f t="shared" si="197"/>
        <v>111406.5</v>
      </c>
    </row>
    <row r="1058" spans="1:15" x14ac:dyDescent="0.2">
      <c r="A1058" s="64" t="str">
        <f ca="1">IF(ISERROR(MATCH(F1058,Код_КВР,0)),"",INDIRECT(ADDRESS(MATCH(F1058,Код_КВР,0)+1,2,,,"КВР")))</f>
        <v>Субсидии автономным учреждениям</v>
      </c>
      <c r="B1058" s="26">
        <v>809</v>
      </c>
      <c r="C1058" s="76" t="s">
        <v>60</v>
      </c>
      <c r="D1058" s="65" t="s">
        <v>72</v>
      </c>
      <c r="E1058" s="26" t="s">
        <v>273</v>
      </c>
      <c r="F1058" s="26">
        <v>620</v>
      </c>
      <c r="G1058" s="66">
        <f>28616.3+1688.9</f>
        <v>30305.200000000001</v>
      </c>
      <c r="H1058" s="66"/>
      <c r="I1058" s="67">
        <f t="shared" si="190"/>
        <v>30305.200000000001</v>
      </c>
      <c r="J1058" s="66"/>
      <c r="K1058" s="67">
        <f t="shared" si="195"/>
        <v>30305.200000000001</v>
      </c>
      <c r="L1058" s="66"/>
      <c r="M1058" s="67">
        <f t="shared" si="196"/>
        <v>30305.200000000001</v>
      </c>
      <c r="N1058" s="66"/>
      <c r="O1058" s="67">
        <f t="shared" si="197"/>
        <v>30305.200000000001</v>
      </c>
    </row>
    <row r="1059" spans="1:15" ht="21.75" customHeight="1" x14ac:dyDescent="0.2">
      <c r="A1059" s="45" t="s">
        <v>532</v>
      </c>
      <c r="B1059" s="26">
        <v>809</v>
      </c>
      <c r="C1059" s="65" t="s">
        <v>60</v>
      </c>
      <c r="D1059" s="65" t="s">
        <v>78</v>
      </c>
      <c r="E1059" s="26"/>
      <c r="F1059" s="26"/>
      <c r="G1059" s="66">
        <f t="shared" ref="G1059:N1061" si="200">G1060</f>
        <v>767.8</v>
      </c>
      <c r="H1059" s="66">
        <f t="shared" si="200"/>
        <v>0</v>
      </c>
      <c r="I1059" s="67">
        <f t="shared" si="190"/>
        <v>767.8</v>
      </c>
      <c r="J1059" s="66">
        <f t="shared" si="200"/>
        <v>0</v>
      </c>
      <c r="K1059" s="67">
        <f t="shared" si="195"/>
        <v>767.8</v>
      </c>
      <c r="L1059" s="66">
        <f t="shared" si="200"/>
        <v>0</v>
      </c>
      <c r="M1059" s="67">
        <f t="shared" si="196"/>
        <v>767.8</v>
      </c>
      <c r="N1059" s="66">
        <f t="shared" si="200"/>
        <v>0</v>
      </c>
      <c r="O1059" s="67">
        <f t="shared" si="197"/>
        <v>767.8</v>
      </c>
    </row>
    <row r="1060" spans="1:15" ht="39" customHeight="1" x14ac:dyDescent="0.2">
      <c r="A1060" s="64" t="str">
        <f ca="1">IF(ISERROR(MATCH(E1060,Код_КЦСР,0)),"",INDIRECT(ADDRESS(MATCH(E1060,Код_КЦСР,0)+1,2,,,"КЦСР")))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1060" s="26">
        <v>809</v>
      </c>
      <c r="C1060" s="65" t="s">
        <v>60</v>
      </c>
      <c r="D1060" s="65" t="s">
        <v>78</v>
      </c>
      <c r="E1060" s="26" t="s">
        <v>269</v>
      </c>
      <c r="F1060" s="26"/>
      <c r="G1060" s="66">
        <f t="shared" si="200"/>
        <v>767.8</v>
      </c>
      <c r="H1060" s="66">
        <f t="shared" si="200"/>
        <v>0</v>
      </c>
      <c r="I1060" s="67">
        <f t="shared" si="190"/>
        <v>767.8</v>
      </c>
      <c r="J1060" s="66">
        <f t="shared" si="200"/>
        <v>0</v>
      </c>
      <c r="K1060" s="67">
        <f t="shared" si="195"/>
        <v>767.8</v>
      </c>
      <c r="L1060" s="66">
        <f t="shared" si="200"/>
        <v>0</v>
      </c>
      <c r="M1060" s="67">
        <f t="shared" si="196"/>
        <v>767.8</v>
      </c>
      <c r="N1060" s="66">
        <f t="shared" si="200"/>
        <v>0</v>
      </c>
      <c r="O1060" s="67">
        <f t="shared" si="197"/>
        <v>767.8</v>
      </c>
    </row>
    <row r="1061" spans="1:15" ht="51" customHeight="1" x14ac:dyDescent="0.2">
      <c r="A1061" s="64" t="str">
        <f ca="1">IF(ISERROR(MATCH(E1061,Код_КЦСР,0)),"",INDIRECT(ADDRESS(MATCH(E1061,Код_КЦСР,0)+1,2,,,"КЦСР")))</f>
        <v>Развитие детско-юношеского и массового спорта, в том числе: реализация дополнительных общеобразовательных общеразвивающих программ, реализация дополнительных предпрофессиональных программ</v>
      </c>
      <c r="B1061" s="26">
        <v>809</v>
      </c>
      <c r="C1061" s="65" t="s">
        <v>60</v>
      </c>
      <c r="D1061" s="65" t="s">
        <v>78</v>
      </c>
      <c r="E1061" s="26" t="s">
        <v>273</v>
      </c>
      <c r="F1061" s="26"/>
      <c r="G1061" s="66">
        <f t="shared" si="200"/>
        <v>767.8</v>
      </c>
      <c r="H1061" s="66">
        <f t="shared" si="200"/>
        <v>0</v>
      </c>
      <c r="I1061" s="67">
        <f t="shared" si="190"/>
        <v>767.8</v>
      </c>
      <c r="J1061" s="66">
        <f t="shared" si="200"/>
        <v>0</v>
      </c>
      <c r="K1061" s="67">
        <f t="shared" si="195"/>
        <v>767.8</v>
      </c>
      <c r="L1061" s="66">
        <f t="shared" si="200"/>
        <v>0</v>
      </c>
      <c r="M1061" s="67">
        <f t="shared" si="196"/>
        <v>767.8</v>
      </c>
      <c r="N1061" s="66">
        <f t="shared" si="200"/>
        <v>0</v>
      </c>
      <c r="O1061" s="67">
        <f t="shared" si="197"/>
        <v>767.8</v>
      </c>
    </row>
    <row r="1062" spans="1:15" ht="33" x14ac:dyDescent="0.2">
      <c r="A1062" s="64" t="str">
        <f ca="1">IF(ISERROR(MATCH(F1062,Код_КВР,0)),"",INDIRECT(ADDRESS(MATCH(F1062,Код_КВР,0)+1,2,,,"КВР")))</f>
        <v>Предоставление субсидий бюджетным, автономным учреждениям и иным некоммерческим организациям</v>
      </c>
      <c r="B1062" s="26">
        <v>809</v>
      </c>
      <c r="C1062" s="65" t="s">
        <v>60</v>
      </c>
      <c r="D1062" s="65" t="s">
        <v>78</v>
      </c>
      <c r="E1062" s="26" t="s">
        <v>273</v>
      </c>
      <c r="F1062" s="26">
        <v>600</v>
      </c>
      <c r="G1062" s="66">
        <f>G1063+G1064</f>
        <v>767.8</v>
      </c>
      <c r="H1062" s="66">
        <f>H1063+H1064</f>
        <v>0</v>
      </c>
      <c r="I1062" s="67">
        <f t="shared" si="190"/>
        <v>767.8</v>
      </c>
      <c r="J1062" s="66">
        <f>J1063+J1064</f>
        <v>0</v>
      </c>
      <c r="K1062" s="67">
        <f t="shared" si="195"/>
        <v>767.8</v>
      </c>
      <c r="L1062" s="66">
        <f>L1063+L1064</f>
        <v>0</v>
      </c>
      <c r="M1062" s="67">
        <f t="shared" si="196"/>
        <v>767.8</v>
      </c>
      <c r="N1062" s="66">
        <f>N1063+N1064</f>
        <v>0</v>
      </c>
      <c r="O1062" s="67">
        <f t="shared" si="197"/>
        <v>767.8</v>
      </c>
    </row>
    <row r="1063" spans="1:15" x14ac:dyDescent="0.2">
      <c r="A1063" s="64" t="str">
        <f ca="1">IF(ISERROR(MATCH(F1063,Код_КВР,0)),"",INDIRECT(ADDRESS(MATCH(F1063,Код_КВР,0)+1,2,,,"КВР")))</f>
        <v>Субсидии бюджетным учреждениям</v>
      </c>
      <c r="B1063" s="26">
        <v>809</v>
      </c>
      <c r="C1063" s="65" t="s">
        <v>60</v>
      </c>
      <c r="D1063" s="65" t="s">
        <v>78</v>
      </c>
      <c r="E1063" s="26" t="s">
        <v>273</v>
      </c>
      <c r="F1063" s="26">
        <v>610</v>
      </c>
      <c r="G1063" s="66">
        <v>467.8</v>
      </c>
      <c r="H1063" s="66"/>
      <c r="I1063" s="67">
        <f t="shared" si="190"/>
        <v>467.8</v>
      </c>
      <c r="J1063" s="66"/>
      <c r="K1063" s="67">
        <f t="shared" si="195"/>
        <v>467.8</v>
      </c>
      <c r="L1063" s="66"/>
      <c r="M1063" s="67">
        <f t="shared" si="196"/>
        <v>467.8</v>
      </c>
      <c r="N1063" s="66"/>
      <c r="O1063" s="67">
        <f t="shared" si="197"/>
        <v>467.8</v>
      </c>
    </row>
    <row r="1064" spans="1:15" x14ac:dyDescent="0.2">
      <c r="A1064" s="64" t="str">
        <f ca="1">IF(ISERROR(MATCH(F1064,Код_КВР,0)),"",INDIRECT(ADDRESS(MATCH(F1064,Код_КВР,0)+1,2,,,"КВР")))</f>
        <v>Субсидии автономным учреждениям</v>
      </c>
      <c r="B1064" s="26">
        <v>809</v>
      </c>
      <c r="C1064" s="65" t="s">
        <v>60</v>
      </c>
      <c r="D1064" s="65" t="s">
        <v>78</v>
      </c>
      <c r="E1064" s="26" t="s">
        <v>273</v>
      </c>
      <c r="F1064" s="26">
        <v>620</v>
      </c>
      <c r="G1064" s="66">
        <v>300</v>
      </c>
      <c r="H1064" s="66"/>
      <c r="I1064" s="67">
        <f t="shared" si="190"/>
        <v>300</v>
      </c>
      <c r="J1064" s="66"/>
      <c r="K1064" s="67">
        <f t="shared" si="195"/>
        <v>300</v>
      </c>
      <c r="L1064" s="66"/>
      <c r="M1064" s="67">
        <f t="shared" si="196"/>
        <v>300</v>
      </c>
      <c r="N1064" s="66"/>
      <c r="O1064" s="67">
        <f t="shared" si="197"/>
        <v>300</v>
      </c>
    </row>
    <row r="1065" spans="1:15" x14ac:dyDescent="0.2">
      <c r="A1065" s="64" t="str">
        <f ca="1">IF(ISERROR(MATCH(C1065,Код_Раздел,0)),"",INDIRECT(ADDRESS(MATCH(C1065,Код_Раздел,0)+1,2,,,"Раздел")))</f>
        <v>Физическая культура и спорт</v>
      </c>
      <c r="B1065" s="26">
        <v>809</v>
      </c>
      <c r="C1065" s="65" t="s">
        <v>81</v>
      </c>
      <c r="D1065" s="65"/>
      <c r="E1065" s="26"/>
      <c r="F1065" s="26"/>
      <c r="G1065" s="66">
        <f>G1066+G1079+G1084</f>
        <v>194743.5</v>
      </c>
      <c r="H1065" s="66">
        <f>H1066+H1079+H1084</f>
        <v>0</v>
      </c>
      <c r="I1065" s="67">
        <f t="shared" si="190"/>
        <v>194743.5</v>
      </c>
      <c r="J1065" s="66">
        <f>J1066+J1079+J1084</f>
        <v>0</v>
      </c>
      <c r="K1065" s="67">
        <f t="shared" si="195"/>
        <v>194743.5</v>
      </c>
      <c r="L1065" s="66">
        <f>L1066+L1079+L1084</f>
        <v>0</v>
      </c>
      <c r="M1065" s="67">
        <f t="shared" si="196"/>
        <v>194743.5</v>
      </c>
      <c r="N1065" s="66">
        <f>N1066+N1079+N1084</f>
        <v>0</v>
      </c>
      <c r="O1065" s="67">
        <f t="shared" si="197"/>
        <v>194743.5</v>
      </c>
    </row>
    <row r="1066" spans="1:15" x14ac:dyDescent="0.2">
      <c r="A1066" s="74" t="s">
        <v>51</v>
      </c>
      <c r="B1066" s="26">
        <v>809</v>
      </c>
      <c r="C1066" s="65" t="s">
        <v>81</v>
      </c>
      <c r="D1066" s="65" t="s">
        <v>70</v>
      </c>
      <c r="E1066" s="26"/>
      <c r="F1066" s="26"/>
      <c r="G1066" s="66">
        <f>G1067</f>
        <v>56963.1</v>
      </c>
      <c r="H1066" s="66">
        <f>H1067</f>
        <v>0</v>
      </c>
      <c r="I1066" s="67">
        <f t="shared" si="190"/>
        <v>56963.1</v>
      </c>
      <c r="J1066" s="66">
        <f>J1067</f>
        <v>0</v>
      </c>
      <c r="K1066" s="67">
        <f t="shared" si="195"/>
        <v>56963.1</v>
      </c>
      <c r="L1066" s="66">
        <f>L1067</f>
        <v>0</v>
      </c>
      <c r="M1066" s="67">
        <f t="shared" si="196"/>
        <v>56963.1</v>
      </c>
      <c r="N1066" s="66">
        <f>N1067</f>
        <v>0</v>
      </c>
      <c r="O1066" s="67">
        <f t="shared" si="197"/>
        <v>56963.1</v>
      </c>
    </row>
    <row r="1067" spans="1:15" ht="33" x14ac:dyDescent="0.2">
      <c r="A1067" s="64" t="str">
        <f ca="1">IF(ISERROR(MATCH(E1067,Код_КЦСР,0)),"",INDIRECT(ADDRESS(MATCH(E1067,Код_КЦСР,0)+1,2,,,"КЦСР")))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1067" s="26">
        <v>809</v>
      </c>
      <c r="C1067" s="65" t="s">
        <v>81</v>
      </c>
      <c r="D1067" s="65" t="s">
        <v>70</v>
      </c>
      <c r="E1067" s="26" t="s">
        <v>269</v>
      </c>
      <c r="F1067" s="26"/>
      <c r="G1067" s="66">
        <f>G1068+G1072+G1076</f>
        <v>56963.1</v>
      </c>
      <c r="H1067" s="66">
        <f>H1068+H1072+H1076</f>
        <v>0</v>
      </c>
      <c r="I1067" s="67">
        <f t="shared" si="190"/>
        <v>56963.1</v>
      </c>
      <c r="J1067" s="66">
        <f>J1068+J1072+J1076</f>
        <v>0</v>
      </c>
      <c r="K1067" s="67">
        <f t="shared" si="195"/>
        <v>56963.1</v>
      </c>
      <c r="L1067" s="66">
        <f>L1068+L1072+L1076</f>
        <v>0</v>
      </c>
      <c r="M1067" s="67">
        <f t="shared" si="196"/>
        <v>56963.1</v>
      </c>
      <c r="N1067" s="66">
        <f>N1068+N1072+N1076</f>
        <v>0</v>
      </c>
      <c r="O1067" s="67">
        <f t="shared" si="197"/>
        <v>56963.1</v>
      </c>
    </row>
    <row r="1068" spans="1:15" ht="68.25" customHeight="1" x14ac:dyDescent="0.2">
      <c r="A1068" s="64" t="str">
        <f ca="1">IF(ISERROR(MATCH(E1068,Код_КЦСР,0)),"",INDIRECT(ADDRESS(MATCH(E1068,Код_КЦСР,0)+1,2,,,"КЦСР")))</f>
        <v>Организация и обеспечение подготовки спортивного резерва, в том числе: обеспечение участия спортивных сборных команд в спортивных соревнованиях, спортивная подготовка по олимпийским видам спорта (пулевая стрельба)</v>
      </c>
      <c r="B1068" s="26">
        <v>809</v>
      </c>
      <c r="C1068" s="65" t="s">
        <v>81</v>
      </c>
      <c r="D1068" s="65" t="s">
        <v>70</v>
      </c>
      <c r="E1068" s="26" t="s">
        <v>272</v>
      </c>
      <c r="F1068" s="26"/>
      <c r="G1068" s="66">
        <f>G1069</f>
        <v>20271.099999999999</v>
      </c>
      <c r="H1068" s="66">
        <f>H1069</f>
        <v>0</v>
      </c>
      <c r="I1068" s="67">
        <f t="shared" si="190"/>
        <v>20271.099999999999</v>
      </c>
      <c r="J1068" s="66">
        <f>J1069</f>
        <v>0</v>
      </c>
      <c r="K1068" s="67">
        <f t="shared" si="195"/>
        <v>20271.099999999999</v>
      </c>
      <c r="L1068" s="66">
        <f>L1069</f>
        <v>0</v>
      </c>
      <c r="M1068" s="67">
        <f t="shared" si="196"/>
        <v>20271.099999999999</v>
      </c>
      <c r="N1068" s="66">
        <f>N1069</f>
        <v>0</v>
      </c>
      <c r="O1068" s="67">
        <f t="shared" si="197"/>
        <v>20271.099999999999</v>
      </c>
    </row>
    <row r="1069" spans="1:15" ht="33" x14ac:dyDescent="0.2">
      <c r="A1069" s="64" t="str">
        <f ca="1">IF(ISERROR(MATCH(F1069,Код_КВР,0)),"",INDIRECT(ADDRESS(MATCH(F1069,Код_КВР,0)+1,2,,,"КВР")))</f>
        <v>Предоставление субсидий бюджетным, автономным учреждениям и иным некоммерческим организациям</v>
      </c>
      <c r="B1069" s="26">
        <v>809</v>
      </c>
      <c r="C1069" s="65" t="s">
        <v>81</v>
      </c>
      <c r="D1069" s="65" t="s">
        <v>70</v>
      </c>
      <c r="E1069" s="26" t="s">
        <v>272</v>
      </c>
      <c r="F1069" s="26">
        <v>600</v>
      </c>
      <c r="G1069" s="66">
        <f>G1070+G1071</f>
        <v>20271.099999999999</v>
      </c>
      <c r="H1069" s="66">
        <f>H1070+H1071</f>
        <v>0</v>
      </c>
      <c r="I1069" s="67">
        <f t="shared" si="190"/>
        <v>20271.099999999999</v>
      </c>
      <c r="J1069" s="66">
        <f>J1070+J1071</f>
        <v>0</v>
      </c>
      <c r="K1069" s="67">
        <f t="shared" si="195"/>
        <v>20271.099999999999</v>
      </c>
      <c r="L1069" s="66">
        <f>L1070+L1071</f>
        <v>0</v>
      </c>
      <c r="M1069" s="67">
        <f t="shared" si="196"/>
        <v>20271.099999999999</v>
      </c>
      <c r="N1069" s="66">
        <f>N1070+N1071</f>
        <v>0</v>
      </c>
      <c r="O1069" s="67">
        <f t="shared" si="197"/>
        <v>20271.099999999999</v>
      </c>
    </row>
    <row r="1070" spans="1:15" x14ac:dyDescent="0.2">
      <c r="A1070" s="64" t="str">
        <f ca="1">IF(ISERROR(MATCH(F1070,Код_КВР,0)),"",INDIRECT(ADDRESS(MATCH(F1070,Код_КВР,0)+1,2,,,"КВР")))</f>
        <v>Субсидии бюджетным учреждениям</v>
      </c>
      <c r="B1070" s="26">
        <v>809</v>
      </c>
      <c r="C1070" s="65" t="s">
        <v>81</v>
      </c>
      <c r="D1070" s="65" t="s">
        <v>70</v>
      </c>
      <c r="E1070" s="26" t="s">
        <v>272</v>
      </c>
      <c r="F1070" s="26">
        <v>610</v>
      </c>
      <c r="G1070" s="66">
        <v>12937.3</v>
      </c>
      <c r="H1070" s="66"/>
      <c r="I1070" s="67">
        <f t="shared" si="190"/>
        <v>12937.3</v>
      </c>
      <c r="J1070" s="66"/>
      <c r="K1070" s="67">
        <f t="shared" si="195"/>
        <v>12937.3</v>
      </c>
      <c r="L1070" s="66"/>
      <c r="M1070" s="67">
        <f t="shared" si="196"/>
        <v>12937.3</v>
      </c>
      <c r="N1070" s="66"/>
      <c r="O1070" s="67">
        <f t="shared" si="197"/>
        <v>12937.3</v>
      </c>
    </row>
    <row r="1071" spans="1:15" x14ac:dyDescent="0.2">
      <c r="A1071" s="64" t="str">
        <f ca="1">IF(ISERROR(MATCH(F1071,Код_КВР,0)),"",INDIRECT(ADDRESS(MATCH(F1071,Код_КВР,0)+1,2,,,"КВР")))</f>
        <v>Субсидии автономным учреждениям</v>
      </c>
      <c r="B1071" s="26">
        <v>809</v>
      </c>
      <c r="C1071" s="65" t="s">
        <v>81</v>
      </c>
      <c r="D1071" s="65" t="s">
        <v>70</v>
      </c>
      <c r="E1071" s="26" t="s">
        <v>272</v>
      </c>
      <c r="F1071" s="26">
        <v>620</v>
      </c>
      <c r="G1071" s="66">
        <f>4577.2+2756.6</f>
        <v>7333.7999999999993</v>
      </c>
      <c r="H1071" s="66"/>
      <c r="I1071" s="67">
        <f t="shared" si="190"/>
        <v>7333.7999999999993</v>
      </c>
      <c r="J1071" s="66"/>
      <c r="K1071" s="67">
        <f t="shared" si="195"/>
        <v>7333.7999999999993</v>
      </c>
      <c r="L1071" s="66"/>
      <c r="M1071" s="67">
        <f t="shared" si="196"/>
        <v>7333.7999999999993</v>
      </c>
      <c r="N1071" s="66"/>
      <c r="O1071" s="67">
        <f t="shared" si="197"/>
        <v>7333.7999999999993</v>
      </c>
    </row>
    <row r="1072" spans="1:15" x14ac:dyDescent="0.2">
      <c r="A1072" s="64" t="str">
        <f ca="1">IF(ISERROR(MATCH(E1072,Код_КЦСР,0)),"",INDIRECT(ADDRESS(MATCH(E1072,Код_КЦСР,0)+1,2,,,"КЦСР")))</f>
        <v>Популяризация физической культуры и спорта и здорового образа жизни</v>
      </c>
      <c r="B1072" s="26">
        <v>809</v>
      </c>
      <c r="C1072" s="65" t="s">
        <v>81</v>
      </c>
      <c r="D1072" s="65" t="s">
        <v>70</v>
      </c>
      <c r="E1072" s="26" t="s">
        <v>275</v>
      </c>
      <c r="F1072" s="26"/>
      <c r="G1072" s="66">
        <f>G1073</f>
        <v>6692</v>
      </c>
      <c r="H1072" s="66">
        <f>H1073</f>
        <v>0</v>
      </c>
      <c r="I1072" s="67">
        <f t="shared" ref="I1072:I1135" si="201">G1072+H1072</f>
        <v>6692</v>
      </c>
      <c r="J1072" s="66">
        <f>J1073</f>
        <v>0</v>
      </c>
      <c r="K1072" s="67">
        <f t="shared" si="195"/>
        <v>6692</v>
      </c>
      <c r="L1072" s="66">
        <f>L1073</f>
        <v>0</v>
      </c>
      <c r="M1072" s="67">
        <f t="shared" si="196"/>
        <v>6692</v>
      </c>
      <c r="N1072" s="66">
        <f>N1073</f>
        <v>0</v>
      </c>
      <c r="O1072" s="67">
        <f t="shared" si="197"/>
        <v>6692</v>
      </c>
    </row>
    <row r="1073" spans="1:15" ht="33" x14ac:dyDescent="0.2">
      <c r="A1073" s="64" t="str">
        <f ca="1">IF(ISERROR(MATCH(F1073,Код_КВР,0)),"",INDIRECT(ADDRESS(MATCH(F1073,Код_КВР,0)+1,2,,,"КВР")))</f>
        <v>Предоставление субсидий бюджетным, автономным учреждениям и иным некоммерческим организациям</v>
      </c>
      <c r="B1073" s="26">
        <v>809</v>
      </c>
      <c r="C1073" s="65" t="s">
        <v>81</v>
      </c>
      <c r="D1073" s="65" t="s">
        <v>70</v>
      </c>
      <c r="E1073" s="26" t="s">
        <v>275</v>
      </c>
      <c r="F1073" s="26">
        <v>600</v>
      </c>
      <c r="G1073" s="66">
        <f>G1074+G1075</f>
        <v>6692</v>
      </c>
      <c r="H1073" s="66">
        <f>H1074+H1075</f>
        <v>0</v>
      </c>
      <c r="I1073" s="67">
        <f t="shared" si="201"/>
        <v>6692</v>
      </c>
      <c r="J1073" s="66">
        <f>J1074+J1075</f>
        <v>0</v>
      </c>
      <c r="K1073" s="67">
        <f t="shared" si="195"/>
        <v>6692</v>
      </c>
      <c r="L1073" s="66">
        <f>L1074+L1075</f>
        <v>0</v>
      </c>
      <c r="M1073" s="67">
        <f t="shared" si="196"/>
        <v>6692</v>
      </c>
      <c r="N1073" s="66">
        <f>N1074+N1075</f>
        <v>0</v>
      </c>
      <c r="O1073" s="67">
        <f t="shared" si="197"/>
        <v>6692</v>
      </c>
    </row>
    <row r="1074" spans="1:15" x14ac:dyDescent="0.2">
      <c r="A1074" s="64" t="str">
        <f ca="1">IF(ISERROR(MATCH(F1074,Код_КВР,0)),"",INDIRECT(ADDRESS(MATCH(F1074,Код_КВР,0)+1,2,,,"КВР")))</f>
        <v>Субсидии бюджетным учреждениям</v>
      </c>
      <c r="B1074" s="26">
        <v>809</v>
      </c>
      <c r="C1074" s="65" t="s">
        <v>81</v>
      </c>
      <c r="D1074" s="65" t="s">
        <v>70</v>
      </c>
      <c r="E1074" s="26" t="s">
        <v>275</v>
      </c>
      <c r="F1074" s="26">
        <v>610</v>
      </c>
      <c r="G1074" s="66">
        <v>2735.1</v>
      </c>
      <c r="H1074" s="66"/>
      <c r="I1074" s="67">
        <f t="shared" si="201"/>
        <v>2735.1</v>
      </c>
      <c r="J1074" s="66"/>
      <c r="K1074" s="67">
        <f t="shared" si="195"/>
        <v>2735.1</v>
      </c>
      <c r="L1074" s="66"/>
      <c r="M1074" s="67">
        <f t="shared" si="196"/>
        <v>2735.1</v>
      </c>
      <c r="N1074" s="66"/>
      <c r="O1074" s="67">
        <f t="shared" si="197"/>
        <v>2735.1</v>
      </c>
    </row>
    <row r="1075" spans="1:15" x14ac:dyDescent="0.2">
      <c r="A1075" s="64" t="str">
        <f ca="1">IF(ISERROR(MATCH(F1075,Код_КВР,0)),"",INDIRECT(ADDRESS(MATCH(F1075,Код_КВР,0)+1,2,,,"КВР")))</f>
        <v>Субсидии автономным учреждениям</v>
      </c>
      <c r="B1075" s="26">
        <v>809</v>
      </c>
      <c r="C1075" s="65" t="s">
        <v>81</v>
      </c>
      <c r="D1075" s="65" t="s">
        <v>70</v>
      </c>
      <c r="E1075" s="26" t="s">
        <v>275</v>
      </c>
      <c r="F1075" s="26">
        <v>620</v>
      </c>
      <c r="G1075" s="66">
        <f>2299+1657.9</f>
        <v>3956.9</v>
      </c>
      <c r="H1075" s="66"/>
      <c r="I1075" s="67">
        <f t="shared" si="201"/>
        <v>3956.9</v>
      </c>
      <c r="J1075" s="66"/>
      <c r="K1075" s="67">
        <f t="shared" si="195"/>
        <v>3956.9</v>
      </c>
      <c r="L1075" s="66"/>
      <c r="M1075" s="67">
        <f t="shared" si="196"/>
        <v>3956.9</v>
      </c>
      <c r="N1075" s="66"/>
      <c r="O1075" s="67">
        <f t="shared" si="197"/>
        <v>3956.9</v>
      </c>
    </row>
    <row r="1076" spans="1:15" x14ac:dyDescent="0.2">
      <c r="A1076" s="64" t="str">
        <f ca="1">IF(ISERROR(MATCH(E1076,Код_КЦСР,0)),"",INDIRECT(ADDRESS(MATCH(E1076,Код_КЦСР,0)+1,2,,,"КЦСР")))</f>
        <v>Развитие волейбола</v>
      </c>
      <c r="B1076" s="26">
        <v>809</v>
      </c>
      <c r="C1076" s="65" t="s">
        <v>81</v>
      </c>
      <c r="D1076" s="65" t="s">
        <v>70</v>
      </c>
      <c r="E1076" s="26" t="s">
        <v>279</v>
      </c>
      <c r="F1076" s="26"/>
      <c r="G1076" s="66">
        <f t="shared" ref="G1076:N1077" si="202">G1077</f>
        <v>30000</v>
      </c>
      <c r="H1076" s="66">
        <f t="shared" si="202"/>
        <v>0</v>
      </c>
      <c r="I1076" s="67">
        <f t="shared" si="201"/>
        <v>30000</v>
      </c>
      <c r="J1076" s="66">
        <f t="shared" si="202"/>
        <v>0</v>
      </c>
      <c r="K1076" s="67">
        <f t="shared" si="195"/>
        <v>30000</v>
      </c>
      <c r="L1076" s="66">
        <f t="shared" si="202"/>
        <v>0</v>
      </c>
      <c r="M1076" s="67">
        <f t="shared" si="196"/>
        <v>30000</v>
      </c>
      <c r="N1076" s="66">
        <f t="shared" si="202"/>
        <v>0</v>
      </c>
      <c r="O1076" s="67">
        <f t="shared" si="197"/>
        <v>30000</v>
      </c>
    </row>
    <row r="1077" spans="1:15" ht="33" x14ac:dyDescent="0.2">
      <c r="A1077" s="64" t="str">
        <f ca="1">IF(ISERROR(MATCH(F1077,Код_КВР,0)),"",INDIRECT(ADDRESS(MATCH(F1077,Код_КВР,0)+1,2,,,"КВР")))</f>
        <v>Предоставление субсидий бюджетным, автономным учреждениям и иным некоммерческим организациям</v>
      </c>
      <c r="B1077" s="26">
        <v>809</v>
      </c>
      <c r="C1077" s="65" t="s">
        <v>81</v>
      </c>
      <c r="D1077" s="65" t="s">
        <v>70</v>
      </c>
      <c r="E1077" s="26" t="s">
        <v>279</v>
      </c>
      <c r="F1077" s="26">
        <v>600</v>
      </c>
      <c r="G1077" s="66">
        <f t="shared" si="202"/>
        <v>30000</v>
      </c>
      <c r="H1077" s="66">
        <f t="shared" si="202"/>
        <v>0</v>
      </c>
      <c r="I1077" s="67">
        <f t="shared" si="201"/>
        <v>30000</v>
      </c>
      <c r="J1077" s="66">
        <f t="shared" si="202"/>
        <v>0</v>
      </c>
      <c r="K1077" s="67">
        <f t="shared" si="195"/>
        <v>30000</v>
      </c>
      <c r="L1077" s="66">
        <f t="shared" si="202"/>
        <v>0</v>
      </c>
      <c r="M1077" s="67">
        <f t="shared" si="196"/>
        <v>30000</v>
      </c>
      <c r="N1077" s="66">
        <f t="shared" si="202"/>
        <v>0</v>
      </c>
      <c r="O1077" s="67">
        <f t="shared" si="197"/>
        <v>30000</v>
      </c>
    </row>
    <row r="1078" spans="1:15" ht="33" x14ac:dyDescent="0.2">
      <c r="A1078" s="64" t="str">
        <f ca="1">IF(ISERROR(MATCH(F1078,Код_КВР,0)),"",INDIRECT(ADDRESS(MATCH(F1078,Код_КВР,0)+1,2,,,"КВР")))</f>
        <v>Субсидии некоммерческим организациям (за исключением государственных (муниципальных) учреждений)</v>
      </c>
      <c r="B1078" s="26">
        <v>809</v>
      </c>
      <c r="C1078" s="65" t="s">
        <v>81</v>
      </c>
      <c r="D1078" s="65" t="s">
        <v>70</v>
      </c>
      <c r="E1078" s="26" t="s">
        <v>279</v>
      </c>
      <c r="F1078" s="26">
        <v>630</v>
      </c>
      <c r="G1078" s="66">
        <v>30000</v>
      </c>
      <c r="H1078" s="66"/>
      <c r="I1078" s="67">
        <f t="shared" si="201"/>
        <v>30000</v>
      </c>
      <c r="J1078" s="66"/>
      <c r="K1078" s="67">
        <f t="shared" si="195"/>
        <v>30000</v>
      </c>
      <c r="L1078" s="66"/>
      <c r="M1078" s="67">
        <f t="shared" si="196"/>
        <v>30000</v>
      </c>
      <c r="N1078" s="66"/>
      <c r="O1078" s="67">
        <f t="shared" si="197"/>
        <v>30000</v>
      </c>
    </row>
    <row r="1079" spans="1:15" ht="18" customHeight="1" x14ac:dyDescent="0.2">
      <c r="A1079" s="104" t="s">
        <v>606</v>
      </c>
      <c r="B1079" s="26">
        <v>809</v>
      </c>
      <c r="C1079" s="65" t="s">
        <v>81</v>
      </c>
      <c r="D1079" s="65" t="s">
        <v>72</v>
      </c>
      <c r="E1079" s="26"/>
      <c r="F1079" s="26"/>
      <c r="G1079" s="66">
        <f t="shared" ref="G1079:N1082" si="203">G1080</f>
        <v>1986.4</v>
      </c>
      <c r="H1079" s="66">
        <f t="shared" si="203"/>
        <v>0</v>
      </c>
      <c r="I1079" s="67">
        <f t="shared" si="201"/>
        <v>1986.4</v>
      </c>
      <c r="J1079" s="66">
        <f t="shared" si="203"/>
        <v>0</v>
      </c>
      <c r="K1079" s="67">
        <f t="shared" si="195"/>
        <v>1986.4</v>
      </c>
      <c r="L1079" s="66">
        <f t="shared" si="203"/>
        <v>0</v>
      </c>
      <c r="M1079" s="67">
        <f t="shared" si="196"/>
        <v>1986.4</v>
      </c>
      <c r="N1079" s="66">
        <f t="shared" si="203"/>
        <v>0</v>
      </c>
      <c r="O1079" s="67">
        <f t="shared" si="197"/>
        <v>1986.4</v>
      </c>
    </row>
    <row r="1080" spans="1:15" ht="33" x14ac:dyDescent="0.2">
      <c r="A1080" s="64" t="str">
        <f ca="1">IF(ISERROR(MATCH(E1080,Код_КЦСР,0)),"",INDIRECT(ADDRESS(MATCH(E1080,Код_КЦСР,0)+1,2,,,"КЦСР")))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1080" s="26">
        <v>809</v>
      </c>
      <c r="C1080" s="65" t="s">
        <v>81</v>
      </c>
      <c r="D1080" s="65" t="s">
        <v>72</v>
      </c>
      <c r="E1080" s="26" t="s">
        <v>269</v>
      </c>
      <c r="F1080" s="26"/>
      <c r="G1080" s="66">
        <f t="shared" si="203"/>
        <v>1986.4</v>
      </c>
      <c r="H1080" s="66">
        <f t="shared" si="203"/>
        <v>0</v>
      </c>
      <c r="I1080" s="67">
        <f t="shared" si="201"/>
        <v>1986.4</v>
      </c>
      <c r="J1080" s="66">
        <f t="shared" si="203"/>
        <v>0</v>
      </c>
      <c r="K1080" s="67">
        <f t="shared" si="195"/>
        <v>1986.4</v>
      </c>
      <c r="L1080" s="66">
        <f t="shared" si="203"/>
        <v>0</v>
      </c>
      <c r="M1080" s="67">
        <f t="shared" si="196"/>
        <v>1986.4</v>
      </c>
      <c r="N1080" s="66">
        <f t="shared" si="203"/>
        <v>0</v>
      </c>
      <c r="O1080" s="67">
        <f t="shared" si="197"/>
        <v>1986.4</v>
      </c>
    </row>
    <row r="1081" spans="1:15" ht="68.25" customHeight="1" x14ac:dyDescent="0.2">
      <c r="A1081" s="64" t="str">
        <f ca="1">IF(ISERROR(MATCH(E1081,Код_КЦСР,0)),"",INDIRECT(ADDRESS(MATCH(E1081,Код_КЦСР,0)+1,2,,,"КЦСР")))</f>
        <v>Организация и обеспечение подготовки спортивного резерва, в том числе: обеспечение участия спортивных сборных команд в спортивных соревнованиях, спортивная подготовка по олимпийским видам спорта (пулевая стрельба)</v>
      </c>
      <c r="B1081" s="26">
        <v>809</v>
      </c>
      <c r="C1081" s="65" t="s">
        <v>81</v>
      </c>
      <c r="D1081" s="65" t="s">
        <v>72</v>
      </c>
      <c r="E1081" s="26" t="s">
        <v>272</v>
      </c>
      <c r="F1081" s="26"/>
      <c r="G1081" s="66">
        <f t="shared" si="203"/>
        <v>1986.4</v>
      </c>
      <c r="H1081" s="66">
        <f t="shared" si="203"/>
        <v>0</v>
      </c>
      <c r="I1081" s="67">
        <f t="shared" si="201"/>
        <v>1986.4</v>
      </c>
      <c r="J1081" s="66">
        <f t="shared" si="203"/>
        <v>0</v>
      </c>
      <c r="K1081" s="67">
        <f t="shared" si="195"/>
        <v>1986.4</v>
      </c>
      <c r="L1081" s="66">
        <f t="shared" si="203"/>
        <v>0</v>
      </c>
      <c r="M1081" s="67">
        <f t="shared" si="196"/>
        <v>1986.4</v>
      </c>
      <c r="N1081" s="66">
        <f t="shared" si="203"/>
        <v>0</v>
      </c>
      <c r="O1081" s="67">
        <f t="shared" si="197"/>
        <v>1986.4</v>
      </c>
    </row>
    <row r="1082" spans="1:15" ht="33" x14ac:dyDescent="0.2">
      <c r="A1082" s="64" t="str">
        <f ca="1">IF(ISERROR(MATCH(F1082,Код_КВР,0)),"",INDIRECT(ADDRESS(MATCH(F1082,Код_КВР,0)+1,2,,,"КВР")))</f>
        <v>Предоставление субсидий бюджетным, автономным учреждениям и иным некоммерческим организациям</v>
      </c>
      <c r="B1082" s="26">
        <v>809</v>
      </c>
      <c r="C1082" s="65" t="s">
        <v>81</v>
      </c>
      <c r="D1082" s="65" t="s">
        <v>72</v>
      </c>
      <c r="E1082" s="26" t="s">
        <v>272</v>
      </c>
      <c r="F1082" s="26">
        <v>600</v>
      </c>
      <c r="G1082" s="66">
        <f t="shared" si="203"/>
        <v>1986.4</v>
      </c>
      <c r="H1082" s="66">
        <f t="shared" si="203"/>
        <v>0</v>
      </c>
      <c r="I1082" s="67">
        <f t="shared" si="201"/>
        <v>1986.4</v>
      </c>
      <c r="J1082" s="66">
        <f t="shared" si="203"/>
        <v>0</v>
      </c>
      <c r="K1082" s="67">
        <f t="shared" si="195"/>
        <v>1986.4</v>
      </c>
      <c r="L1082" s="66">
        <f t="shared" si="203"/>
        <v>0</v>
      </c>
      <c r="M1082" s="67">
        <f t="shared" si="196"/>
        <v>1986.4</v>
      </c>
      <c r="N1082" s="66">
        <f t="shared" si="203"/>
        <v>0</v>
      </c>
      <c r="O1082" s="67">
        <f t="shared" si="197"/>
        <v>1986.4</v>
      </c>
    </row>
    <row r="1083" spans="1:15" x14ac:dyDescent="0.2">
      <c r="A1083" s="64" t="str">
        <f ca="1">IF(ISERROR(MATCH(F1083,Код_КВР,0)),"",INDIRECT(ADDRESS(MATCH(F1083,Код_КВР,0)+1,2,,,"КВР")))</f>
        <v>Субсидии бюджетным учреждениям</v>
      </c>
      <c r="B1083" s="26">
        <v>809</v>
      </c>
      <c r="C1083" s="65" t="s">
        <v>81</v>
      </c>
      <c r="D1083" s="65" t="s">
        <v>72</v>
      </c>
      <c r="E1083" s="26" t="s">
        <v>272</v>
      </c>
      <c r="F1083" s="26">
        <v>610</v>
      </c>
      <c r="G1083" s="66">
        <v>1986.4</v>
      </c>
      <c r="H1083" s="66"/>
      <c r="I1083" s="67">
        <f t="shared" si="201"/>
        <v>1986.4</v>
      </c>
      <c r="J1083" s="66"/>
      <c r="K1083" s="67">
        <f t="shared" si="195"/>
        <v>1986.4</v>
      </c>
      <c r="L1083" s="66"/>
      <c r="M1083" s="67">
        <f t="shared" si="196"/>
        <v>1986.4</v>
      </c>
      <c r="N1083" s="66"/>
      <c r="O1083" s="67">
        <f t="shared" si="197"/>
        <v>1986.4</v>
      </c>
    </row>
    <row r="1084" spans="1:15" x14ac:dyDescent="0.2">
      <c r="A1084" s="74" t="s">
        <v>57</v>
      </c>
      <c r="B1084" s="26">
        <v>809</v>
      </c>
      <c r="C1084" s="65" t="s">
        <v>81</v>
      </c>
      <c r="D1084" s="65" t="s">
        <v>78</v>
      </c>
      <c r="E1084" s="26"/>
      <c r="F1084" s="26"/>
      <c r="G1084" s="66">
        <f>G1085</f>
        <v>135794</v>
      </c>
      <c r="H1084" s="66">
        <f>H1085</f>
        <v>0</v>
      </c>
      <c r="I1084" s="67">
        <f t="shared" si="201"/>
        <v>135794</v>
      </c>
      <c r="J1084" s="66">
        <f>J1085</f>
        <v>0</v>
      </c>
      <c r="K1084" s="67">
        <f t="shared" si="195"/>
        <v>135794</v>
      </c>
      <c r="L1084" s="66">
        <f>L1085</f>
        <v>0</v>
      </c>
      <c r="M1084" s="67">
        <f t="shared" si="196"/>
        <v>135794</v>
      </c>
      <c r="N1084" s="66">
        <f>N1085</f>
        <v>0</v>
      </c>
      <c r="O1084" s="67">
        <f t="shared" si="197"/>
        <v>135794</v>
      </c>
    </row>
    <row r="1085" spans="1:15" ht="33" x14ac:dyDescent="0.2">
      <c r="A1085" s="64" t="str">
        <f ca="1">IF(ISERROR(MATCH(E1085,Код_КЦСР,0)),"",INDIRECT(ADDRESS(MATCH(E1085,Код_КЦСР,0)+1,2,,,"КЦСР")))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1085" s="26">
        <v>809</v>
      </c>
      <c r="C1085" s="65" t="s">
        <v>81</v>
      </c>
      <c r="D1085" s="65" t="s">
        <v>78</v>
      </c>
      <c r="E1085" s="26" t="s">
        <v>269</v>
      </c>
      <c r="F1085" s="26"/>
      <c r="G1085" s="66">
        <f>G1086+G1089+G1094</f>
        <v>135794</v>
      </c>
      <c r="H1085" s="66">
        <f>H1086+H1089+H1094</f>
        <v>0</v>
      </c>
      <c r="I1085" s="67">
        <f t="shared" si="201"/>
        <v>135794</v>
      </c>
      <c r="J1085" s="66">
        <f>J1086+J1089+J1094</f>
        <v>0</v>
      </c>
      <c r="K1085" s="67">
        <f t="shared" si="195"/>
        <v>135794</v>
      </c>
      <c r="L1085" s="66">
        <f>L1086+L1089+L1094</f>
        <v>0</v>
      </c>
      <c r="M1085" s="67">
        <f t="shared" si="196"/>
        <v>135794</v>
      </c>
      <c r="N1085" s="66">
        <f>N1086+N1089+N1094</f>
        <v>0</v>
      </c>
      <c r="O1085" s="67">
        <f t="shared" si="197"/>
        <v>135794</v>
      </c>
    </row>
    <row r="1086" spans="1:15" x14ac:dyDescent="0.2">
      <c r="A1086" s="64" t="str">
        <f ca="1">IF(ISERROR(MATCH(E1086,Код_КЦСР,0)),"",INDIRECT(ADDRESS(MATCH(E1086,Код_КЦСР,0)+1,2,,,"КЦСР")))</f>
        <v>Обеспечение доступа к спортивным объектам</v>
      </c>
      <c r="B1086" s="26">
        <v>809</v>
      </c>
      <c r="C1086" s="65" t="s">
        <v>81</v>
      </c>
      <c r="D1086" s="65" t="s">
        <v>78</v>
      </c>
      <c r="E1086" s="26" t="s">
        <v>271</v>
      </c>
      <c r="F1086" s="26"/>
      <c r="G1086" s="66">
        <f>G1087</f>
        <v>126567.3</v>
      </c>
      <c r="H1086" s="66">
        <f>H1087</f>
        <v>0</v>
      </c>
      <c r="I1086" s="67">
        <f t="shared" si="201"/>
        <v>126567.3</v>
      </c>
      <c r="J1086" s="66">
        <f>J1087</f>
        <v>0</v>
      </c>
      <c r="K1086" s="67">
        <f t="shared" si="195"/>
        <v>126567.3</v>
      </c>
      <c r="L1086" s="66">
        <f>L1087</f>
        <v>0</v>
      </c>
      <c r="M1086" s="67">
        <f t="shared" si="196"/>
        <v>126567.3</v>
      </c>
      <c r="N1086" s="66">
        <f>N1087</f>
        <v>0</v>
      </c>
      <c r="O1086" s="67">
        <f t="shared" si="197"/>
        <v>126567.3</v>
      </c>
    </row>
    <row r="1087" spans="1:15" ht="33" x14ac:dyDescent="0.2">
      <c r="A1087" s="64" t="str">
        <f ca="1">IF(ISERROR(MATCH(F1087,Код_КВР,0)),"",INDIRECT(ADDRESS(MATCH(F1087,Код_КВР,0)+1,2,,,"КВР")))</f>
        <v>Предоставление субсидий бюджетным, автономным учреждениям и иным некоммерческим организациям</v>
      </c>
      <c r="B1087" s="26">
        <v>809</v>
      </c>
      <c r="C1087" s="65" t="s">
        <v>81</v>
      </c>
      <c r="D1087" s="65" t="s">
        <v>78</v>
      </c>
      <c r="E1087" s="26" t="s">
        <v>271</v>
      </c>
      <c r="F1087" s="26">
        <v>600</v>
      </c>
      <c r="G1087" s="66">
        <f>G1088</f>
        <v>126567.3</v>
      </c>
      <c r="H1087" s="66">
        <f>H1088</f>
        <v>0</v>
      </c>
      <c r="I1087" s="67">
        <f t="shared" si="201"/>
        <v>126567.3</v>
      </c>
      <c r="J1087" s="66">
        <f>J1088</f>
        <v>0</v>
      </c>
      <c r="K1087" s="67">
        <f t="shared" si="195"/>
        <v>126567.3</v>
      </c>
      <c r="L1087" s="66">
        <f>L1088</f>
        <v>0</v>
      </c>
      <c r="M1087" s="67">
        <f t="shared" si="196"/>
        <v>126567.3</v>
      </c>
      <c r="N1087" s="66">
        <f>N1088</f>
        <v>0</v>
      </c>
      <c r="O1087" s="67">
        <f t="shared" si="197"/>
        <v>126567.3</v>
      </c>
    </row>
    <row r="1088" spans="1:15" x14ac:dyDescent="0.2">
      <c r="A1088" s="64" t="str">
        <f ca="1">IF(ISERROR(MATCH(F1088,Код_КВР,0)),"",INDIRECT(ADDRESS(MATCH(F1088,Код_КВР,0)+1,2,,,"КВР")))</f>
        <v>Субсидии автономным учреждениям</v>
      </c>
      <c r="B1088" s="26">
        <v>809</v>
      </c>
      <c r="C1088" s="65" t="s">
        <v>81</v>
      </c>
      <c r="D1088" s="65" t="s">
        <v>78</v>
      </c>
      <c r="E1088" s="26" t="s">
        <v>271</v>
      </c>
      <c r="F1088" s="26">
        <v>620</v>
      </c>
      <c r="G1088" s="66">
        <v>126567.3</v>
      </c>
      <c r="H1088" s="66"/>
      <c r="I1088" s="67">
        <f t="shared" si="201"/>
        <v>126567.3</v>
      </c>
      <c r="J1088" s="66"/>
      <c r="K1088" s="67">
        <f t="shared" si="195"/>
        <v>126567.3</v>
      </c>
      <c r="L1088" s="66"/>
      <c r="M1088" s="67">
        <f t="shared" si="196"/>
        <v>126567.3</v>
      </c>
      <c r="N1088" s="66"/>
      <c r="O1088" s="67">
        <f t="shared" si="197"/>
        <v>126567.3</v>
      </c>
    </row>
    <row r="1089" spans="1:15" x14ac:dyDescent="0.2">
      <c r="A1089" s="64" t="str">
        <f ca="1">IF(ISERROR(MATCH(E1089,Код_КЦСР,0)),"",INDIRECT(ADDRESS(MATCH(E1089,Код_КЦСР,0)+1,2,,,"КЦСР")))</f>
        <v>Организация и ведение бухгалтерского (бюджетного) учета и отчетности</v>
      </c>
      <c r="B1089" s="26">
        <v>809</v>
      </c>
      <c r="C1089" s="65" t="s">
        <v>81</v>
      </c>
      <c r="D1089" s="65" t="s">
        <v>78</v>
      </c>
      <c r="E1089" s="26" t="s">
        <v>274</v>
      </c>
      <c r="F1089" s="26"/>
      <c r="G1089" s="66">
        <f>G1090+G1092</f>
        <v>4832.0999999999995</v>
      </c>
      <c r="H1089" s="66">
        <f>H1090+H1092</f>
        <v>0</v>
      </c>
      <c r="I1089" s="67">
        <f t="shared" si="201"/>
        <v>4832.0999999999995</v>
      </c>
      <c r="J1089" s="66">
        <f>J1090+J1092</f>
        <v>0</v>
      </c>
      <c r="K1089" s="67">
        <f t="shared" si="195"/>
        <v>4832.0999999999995</v>
      </c>
      <c r="L1089" s="66">
        <f>L1090+L1092</f>
        <v>0</v>
      </c>
      <c r="M1089" s="67">
        <f t="shared" si="196"/>
        <v>4832.0999999999995</v>
      </c>
      <c r="N1089" s="66">
        <f>N1090+N1092</f>
        <v>0</v>
      </c>
      <c r="O1089" s="67">
        <f t="shared" si="197"/>
        <v>4832.0999999999995</v>
      </c>
    </row>
    <row r="1090" spans="1:15" ht="49.5" x14ac:dyDescent="0.2">
      <c r="A1090" s="64" t="str">
        <f ca="1">IF(ISERROR(MATCH(F1090,Код_КВР,0)),"",INDIRECT(ADDRESS(MATCH(F1090,Код_КВР,0)+1,2,,,"КВР")))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90" s="26">
        <v>809</v>
      </c>
      <c r="C1090" s="65" t="s">
        <v>81</v>
      </c>
      <c r="D1090" s="65" t="s">
        <v>78</v>
      </c>
      <c r="E1090" s="26" t="s">
        <v>274</v>
      </c>
      <c r="F1090" s="26">
        <v>100</v>
      </c>
      <c r="G1090" s="66">
        <f>G1091</f>
        <v>4368.7</v>
      </c>
      <c r="H1090" s="66">
        <f>H1091</f>
        <v>0</v>
      </c>
      <c r="I1090" s="67">
        <f t="shared" si="201"/>
        <v>4368.7</v>
      </c>
      <c r="J1090" s="66">
        <f>J1091</f>
        <v>0</v>
      </c>
      <c r="K1090" s="67">
        <f t="shared" si="195"/>
        <v>4368.7</v>
      </c>
      <c r="L1090" s="66">
        <f>L1091</f>
        <v>0</v>
      </c>
      <c r="M1090" s="67">
        <f t="shared" si="196"/>
        <v>4368.7</v>
      </c>
      <c r="N1090" s="66">
        <f>N1091</f>
        <v>0</v>
      </c>
      <c r="O1090" s="67">
        <f t="shared" si="197"/>
        <v>4368.7</v>
      </c>
    </row>
    <row r="1091" spans="1:15" x14ac:dyDescent="0.2">
      <c r="A1091" s="64" t="str">
        <f ca="1">IF(ISERROR(MATCH(F1091,Код_КВР,0)),"",INDIRECT(ADDRESS(MATCH(F1091,Код_КВР,0)+1,2,,,"КВР")))</f>
        <v>Расходы на выплаты персоналу казенных учреждений</v>
      </c>
      <c r="B1091" s="26">
        <v>809</v>
      </c>
      <c r="C1091" s="65" t="s">
        <v>81</v>
      </c>
      <c r="D1091" s="65" t="s">
        <v>78</v>
      </c>
      <c r="E1091" s="26" t="s">
        <v>274</v>
      </c>
      <c r="F1091" s="26">
        <v>110</v>
      </c>
      <c r="G1091" s="66">
        <f>3355.2+1013.5</f>
        <v>4368.7</v>
      </c>
      <c r="H1091" s="66"/>
      <c r="I1091" s="67">
        <f t="shared" si="201"/>
        <v>4368.7</v>
      </c>
      <c r="J1091" s="66"/>
      <c r="K1091" s="67">
        <f t="shared" si="195"/>
        <v>4368.7</v>
      </c>
      <c r="L1091" s="66"/>
      <c r="M1091" s="67">
        <f t="shared" si="196"/>
        <v>4368.7</v>
      </c>
      <c r="N1091" s="66"/>
      <c r="O1091" s="67">
        <f t="shared" si="197"/>
        <v>4368.7</v>
      </c>
    </row>
    <row r="1092" spans="1:15" ht="33" x14ac:dyDescent="0.2">
      <c r="A1092" s="64" t="str">
        <f ca="1">IF(ISERROR(MATCH(F1092,Код_КВР,0)),"",INDIRECT(ADDRESS(MATCH(F1092,Код_КВР,0)+1,2,,,"КВР")))</f>
        <v>Закупка товаров, работ и услуг для обеспечения государственных (муниципальных) нужд</v>
      </c>
      <c r="B1092" s="26">
        <v>809</v>
      </c>
      <c r="C1092" s="65" t="s">
        <v>81</v>
      </c>
      <c r="D1092" s="65" t="s">
        <v>78</v>
      </c>
      <c r="E1092" s="26" t="s">
        <v>274</v>
      </c>
      <c r="F1092" s="26">
        <v>200</v>
      </c>
      <c r="G1092" s="66">
        <f>G1093</f>
        <v>463.4</v>
      </c>
      <c r="H1092" s="66">
        <f>H1093</f>
        <v>0</v>
      </c>
      <c r="I1092" s="67">
        <f t="shared" si="201"/>
        <v>463.4</v>
      </c>
      <c r="J1092" s="66">
        <f>J1093</f>
        <v>0</v>
      </c>
      <c r="K1092" s="67">
        <f t="shared" si="195"/>
        <v>463.4</v>
      </c>
      <c r="L1092" s="66">
        <f>L1093</f>
        <v>0</v>
      </c>
      <c r="M1092" s="67">
        <f t="shared" si="196"/>
        <v>463.4</v>
      </c>
      <c r="N1092" s="66">
        <f>N1093</f>
        <v>0</v>
      </c>
      <c r="O1092" s="67">
        <f t="shared" si="197"/>
        <v>463.4</v>
      </c>
    </row>
    <row r="1093" spans="1:15" ht="33" x14ac:dyDescent="0.2">
      <c r="A1093" s="64" t="str">
        <f ca="1">IF(ISERROR(MATCH(F1093,Код_КВР,0)),"",INDIRECT(ADDRESS(MATCH(F1093,Код_КВР,0)+1,2,,,"КВР")))</f>
        <v>Иные закупки товаров, работ и услуг для обеспечения государственных (муниципальных) нужд</v>
      </c>
      <c r="B1093" s="26">
        <v>809</v>
      </c>
      <c r="C1093" s="65" t="s">
        <v>81</v>
      </c>
      <c r="D1093" s="65" t="s">
        <v>78</v>
      </c>
      <c r="E1093" s="26" t="s">
        <v>274</v>
      </c>
      <c r="F1093" s="26">
        <v>240</v>
      </c>
      <c r="G1093" s="66">
        <v>463.4</v>
      </c>
      <c r="H1093" s="66"/>
      <c r="I1093" s="67">
        <f t="shared" si="201"/>
        <v>463.4</v>
      </c>
      <c r="J1093" s="66"/>
      <c r="K1093" s="67">
        <f t="shared" si="195"/>
        <v>463.4</v>
      </c>
      <c r="L1093" s="66"/>
      <c r="M1093" s="67">
        <f t="shared" si="196"/>
        <v>463.4</v>
      </c>
      <c r="N1093" s="66"/>
      <c r="O1093" s="67">
        <f t="shared" si="197"/>
        <v>463.4</v>
      </c>
    </row>
    <row r="1094" spans="1:15" ht="33" x14ac:dyDescent="0.2">
      <c r="A1094" s="64" t="str">
        <f ca="1">IF(ISERROR(MATCH(E1094,Код_КЦСР,0)),"",INDIRECT(ADDRESS(MATCH(E1094,Код_КЦСР,0)+1,2,,,"КЦСР")))</f>
        <v>Организация работ по реализации целей, задач комитета, выполнения его функциональных обязанностей и реализации муниципальной программы</v>
      </c>
      <c r="B1094" s="26">
        <v>809</v>
      </c>
      <c r="C1094" s="65" t="s">
        <v>81</v>
      </c>
      <c r="D1094" s="65" t="s">
        <v>78</v>
      </c>
      <c r="E1094" s="26" t="s">
        <v>277</v>
      </c>
      <c r="F1094" s="26"/>
      <c r="G1094" s="66">
        <f>G1095</f>
        <v>4394.6000000000004</v>
      </c>
      <c r="H1094" s="66">
        <f>H1095</f>
        <v>0</v>
      </c>
      <c r="I1094" s="67">
        <f t="shared" si="201"/>
        <v>4394.6000000000004</v>
      </c>
      <c r="J1094" s="66">
        <f>J1095</f>
        <v>0</v>
      </c>
      <c r="K1094" s="67">
        <f t="shared" si="195"/>
        <v>4394.6000000000004</v>
      </c>
      <c r="L1094" s="66">
        <f>L1095</f>
        <v>0</v>
      </c>
      <c r="M1094" s="67">
        <f t="shared" si="196"/>
        <v>4394.6000000000004</v>
      </c>
      <c r="N1094" s="66">
        <f>N1095</f>
        <v>0</v>
      </c>
      <c r="O1094" s="67">
        <f t="shared" si="197"/>
        <v>4394.6000000000004</v>
      </c>
    </row>
    <row r="1095" spans="1:15" x14ac:dyDescent="0.2">
      <c r="A1095" s="64" t="str">
        <f ca="1">IF(ISERROR(MATCH(E1095,Код_КЦСР,0)),"",INDIRECT(ADDRESS(MATCH(E1095,Код_КЦСР,0)+1,2,,,"КЦСР")))</f>
        <v>Расходы на обеспечение функций органов местного самоуправления</v>
      </c>
      <c r="B1095" s="26">
        <v>809</v>
      </c>
      <c r="C1095" s="65" t="s">
        <v>81</v>
      </c>
      <c r="D1095" s="65" t="s">
        <v>78</v>
      </c>
      <c r="E1095" s="26" t="s">
        <v>278</v>
      </c>
      <c r="F1095" s="26"/>
      <c r="G1095" s="66">
        <f>G1096+G1098</f>
        <v>4394.6000000000004</v>
      </c>
      <c r="H1095" s="66">
        <f>H1096+H1098</f>
        <v>0</v>
      </c>
      <c r="I1095" s="67">
        <f t="shared" si="201"/>
        <v>4394.6000000000004</v>
      </c>
      <c r="J1095" s="66">
        <f>J1096+J1098</f>
        <v>0</v>
      </c>
      <c r="K1095" s="67">
        <f t="shared" si="195"/>
        <v>4394.6000000000004</v>
      </c>
      <c r="L1095" s="66">
        <f>L1096+L1098</f>
        <v>0</v>
      </c>
      <c r="M1095" s="67">
        <f t="shared" si="196"/>
        <v>4394.6000000000004</v>
      </c>
      <c r="N1095" s="66">
        <f>N1096+N1098</f>
        <v>0</v>
      </c>
      <c r="O1095" s="67">
        <f t="shared" si="197"/>
        <v>4394.6000000000004</v>
      </c>
    </row>
    <row r="1096" spans="1:15" ht="49.5" x14ac:dyDescent="0.2">
      <c r="A1096" s="64" t="str">
        <f ca="1">IF(ISERROR(MATCH(F1096,Код_КВР,0)),"",INDIRECT(ADDRESS(MATCH(F1096,Код_КВР,0)+1,2,,,"КВР")))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96" s="26">
        <v>809</v>
      </c>
      <c r="C1096" s="65" t="s">
        <v>81</v>
      </c>
      <c r="D1096" s="65" t="s">
        <v>78</v>
      </c>
      <c r="E1096" s="26" t="s">
        <v>278</v>
      </c>
      <c r="F1096" s="26">
        <v>100</v>
      </c>
      <c r="G1096" s="66">
        <f>G1097</f>
        <v>4378.1000000000004</v>
      </c>
      <c r="H1096" s="66">
        <f>H1097</f>
        <v>0</v>
      </c>
      <c r="I1096" s="67">
        <f t="shared" si="201"/>
        <v>4378.1000000000004</v>
      </c>
      <c r="J1096" s="66">
        <f>J1097</f>
        <v>0</v>
      </c>
      <c r="K1096" s="67">
        <f t="shared" si="195"/>
        <v>4378.1000000000004</v>
      </c>
      <c r="L1096" s="66">
        <f>L1097</f>
        <v>0</v>
      </c>
      <c r="M1096" s="67">
        <f t="shared" si="196"/>
        <v>4378.1000000000004</v>
      </c>
      <c r="N1096" s="66">
        <f>N1097</f>
        <v>0</v>
      </c>
      <c r="O1096" s="67">
        <f t="shared" si="197"/>
        <v>4378.1000000000004</v>
      </c>
    </row>
    <row r="1097" spans="1:15" x14ac:dyDescent="0.2">
      <c r="A1097" s="64" t="str">
        <f ca="1">IF(ISERROR(MATCH(F1097,Код_КВР,0)),"",INDIRECT(ADDRESS(MATCH(F1097,Код_КВР,0)+1,2,,,"КВР")))</f>
        <v>Расходы на выплаты персоналу государственных (муниципальных) органов</v>
      </c>
      <c r="B1097" s="26">
        <v>809</v>
      </c>
      <c r="C1097" s="65" t="s">
        <v>81</v>
      </c>
      <c r="D1097" s="65" t="s">
        <v>78</v>
      </c>
      <c r="E1097" s="26" t="s">
        <v>278</v>
      </c>
      <c r="F1097" s="26">
        <v>120</v>
      </c>
      <c r="G1097" s="66">
        <f>3341.9+27+1009.2</f>
        <v>4378.1000000000004</v>
      </c>
      <c r="H1097" s="66"/>
      <c r="I1097" s="67">
        <f t="shared" si="201"/>
        <v>4378.1000000000004</v>
      </c>
      <c r="J1097" s="66"/>
      <c r="K1097" s="67">
        <f t="shared" si="195"/>
        <v>4378.1000000000004</v>
      </c>
      <c r="L1097" s="66"/>
      <c r="M1097" s="67">
        <f t="shared" si="196"/>
        <v>4378.1000000000004</v>
      </c>
      <c r="N1097" s="66"/>
      <c r="O1097" s="67">
        <f t="shared" si="197"/>
        <v>4378.1000000000004</v>
      </c>
    </row>
    <row r="1098" spans="1:15" ht="33" x14ac:dyDescent="0.2">
      <c r="A1098" s="64" t="str">
        <f ca="1">IF(ISERROR(MATCH(F1098,Код_КВР,0)),"",INDIRECT(ADDRESS(MATCH(F1098,Код_КВР,0)+1,2,,,"КВР")))</f>
        <v>Закупка товаров, работ и услуг для обеспечения государственных (муниципальных) нужд</v>
      </c>
      <c r="B1098" s="26">
        <v>809</v>
      </c>
      <c r="C1098" s="65" t="s">
        <v>81</v>
      </c>
      <c r="D1098" s="65" t="s">
        <v>78</v>
      </c>
      <c r="E1098" s="26" t="s">
        <v>278</v>
      </c>
      <c r="F1098" s="26">
        <v>200</v>
      </c>
      <c r="G1098" s="66">
        <f>G1099</f>
        <v>16.5</v>
      </c>
      <c r="H1098" s="66">
        <f>H1099</f>
        <v>0</v>
      </c>
      <c r="I1098" s="67">
        <f t="shared" si="201"/>
        <v>16.5</v>
      </c>
      <c r="J1098" s="66">
        <f>J1099</f>
        <v>0</v>
      </c>
      <c r="K1098" s="67">
        <f t="shared" si="195"/>
        <v>16.5</v>
      </c>
      <c r="L1098" s="66">
        <f>L1099</f>
        <v>0</v>
      </c>
      <c r="M1098" s="67">
        <f t="shared" si="196"/>
        <v>16.5</v>
      </c>
      <c r="N1098" s="66">
        <f>N1099</f>
        <v>0</v>
      </c>
      <c r="O1098" s="67">
        <f t="shared" si="197"/>
        <v>16.5</v>
      </c>
    </row>
    <row r="1099" spans="1:15" ht="33" x14ac:dyDescent="0.2">
      <c r="A1099" s="64" t="str">
        <f ca="1">IF(ISERROR(MATCH(F1099,Код_КВР,0)),"",INDIRECT(ADDRESS(MATCH(F1099,Код_КВР,0)+1,2,,,"КВР")))</f>
        <v>Иные закупки товаров, работ и услуг для обеспечения государственных (муниципальных) нужд</v>
      </c>
      <c r="B1099" s="26">
        <v>809</v>
      </c>
      <c r="C1099" s="65" t="s">
        <v>81</v>
      </c>
      <c r="D1099" s="65" t="s">
        <v>78</v>
      </c>
      <c r="E1099" s="26" t="s">
        <v>278</v>
      </c>
      <c r="F1099" s="26">
        <v>240</v>
      </c>
      <c r="G1099" s="66">
        <v>16.5</v>
      </c>
      <c r="H1099" s="66"/>
      <c r="I1099" s="67">
        <f t="shared" si="201"/>
        <v>16.5</v>
      </c>
      <c r="J1099" s="66"/>
      <c r="K1099" s="67">
        <f t="shared" si="195"/>
        <v>16.5</v>
      </c>
      <c r="L1099" s="66"/>
      <c r="M1099" s="67">
        <f t="shared" si="196"/>
        <v>16.5</v>
      </c>
      <c r="N1099" s="66"/>
      <c r="O1099" s="67">
        <f t="shared" si="197"/>
        <v>16.5</v>
      </c>
    </row>
    <row r="1100" spans="1:15" x14ac:dyDescent="0.2">
      <c r="A1100" s="64" t="str">
        <f ca="1">IF(ISERROR(MATCH(B1100,Код_ППП,0)),"",INDIRECT(ADDRESS(MATCH(B1100,Код_ППП,0)+1,2,,,"ППП")))</f>
        <v>КОМИТЕТ ПО УПРАВЛЕНИЮ ИМУЩЕСТВОМ ГОРОДА</v>
      </c>
      <c r="B1100" s="26">
        <v>811</v>
      </c>
      <c r="C1100" s="65"/>
      <c r="D1100" s="65"/>
      <c r="E1100" s="26"/>
      <c r="F1100" s="26"/>
      <c r="G1100" s="66">
        <f>G1101+G1118+G1191+G1217+G1272+G1289</f>
        <v>1625689.4000000001</v>
      </c>
      <c r="H1100" s="66">
        <f>H1101+H1118+H1191+H1217+H1272+H1289</f>
        <v>18553.599999999999</v>
      </c>
      <c r="I1100" s="67">
        <f t="shared" si="201"/>
        <v>1644243.0000000002</v>
      </c>
      <c r="J1100" s="66">
        <f>J1101+J1118+J1191+J1217+J1272+J1289</f>
        <v>-81195.100000000006</v>
      </c>
      <c r="K1100" s="67">
        <f t="shared" ref="K1100:K1163" si="204">I1100+J1100</f>
        <v>1563047.9000000001</v>
      </c>
      <c r="L1100" s="66">
        <f>L1101+L1118+L1191+L1217+L1272+L1289</f>
        <v>78439.7</v>
      </c>
      <c r="M1100" s="67">
        <f t="shared" ref="M1100:M1163" si="205">K1100+L1100</f>
        <v>1641487.6</v>
      </c>
      <c r="N1100" s="66">
        <f>N1101+N1118+N1191+N1217+N1272+N1289</f>
        <v>-83721.000000000015</v>
      </c>
      <c r="O1100" s="67">
        <f t="shared" si="197"/>
        <v>1557766.6</v>
      </c>
    </row>
    <row r="1101" spans="1:15" x14ac:dyDescent="0.2">
      <c r="A1101" s="64" t="str">
        <f ca="1">IF(ISERROR(MATCH(C1101,Код_Раздел,0)),"",INDIRECT(ADDRESS(MATCH(C1101,Код_Раздел,0)+1,2,,,"Раздел")))</f>
        <v>Общегосударственные вопросы</v>
      </c>
      <c r="B1101" s="26">
        <v>811</v>
      </c>
      <c r="C1101" s="65" t="s">
        <v>70</v>
      </c>
      <c r="D1101" s="65"/>
      <c r="E1101" s="26"/>
      <c r="F1101" s="26"/>
      <c r="G1101" s="66">
        <f>G1102</f>
        <v>3984.7</v>
      </c>
      <c r="H1101" s="66">
        <f>H1102</f>
        <v>0</v>
      </c>
      <c r="I1101" s="67">
        <f t="shared" si="201"/>
        <v>3984.7</v>
      </c>
      <c r="J1101" s="66">
        <f>J1102</f>
        <v>334.8</v>
      </c>
      <c r="K1101" s="67">
        <f t="shared" si="204"/>
        <v>4319.5</v>
      </c>
      <c r="L1101" s="66">
        <f>L1102</f>
        <v>67.5</v>
      </c>
      <c r="M1101" s="67">
        <f t="shared" si="205"/>
        <v>4387</v>
      </c>
      <c r="N1101" s="66">
        <f>N1102</f>
        <v>1041.5</v>
      </c>
      <c r="O1101" s="67">
        <f t="shared" si="197"/>
        <v>5428.5</v>
      </c>
    </row>
    <row r="1102" spans="1:15" x14ac:dyDescent="0.2">
      <c r="A1102" s="74" t="s">
        <v>91</v>
      </c>
      <c r="B1102" s="26">
        <v>811</v>
      </c>
      <c r="C1102" s="65" t="s">
        <v>70</v>
      </c>
      <c r="D1102" s="65" t="s">
        <v>55</v>
      </c>
      <c r="E1102" s="26"/>
      <c r="F1102" s="26"/>
      <c r="G1102" s="66">
        <f>G1103+G1113</f>
        <v>3984.7</v>
      </c>
      <c r="H1102" s="66">
        <f>H1103+H1113</f>
        <v>0</v>
      </c>
      <c r="I1102" s="67">
        <f t="shared" si="201"/>
        <v>3984.7</v>
      </c>
      <c r="J1102" s="66">
        <f>J1103+J1113</f>
        <v>334.8</v>
      </c>
      <c r="K1102" s="67">
        <f t="shared" si="204"/>
        <v>4319.5</v>
      </c>
      <c r="L1102" s="66">
        <f>L1103+L1113</f>
        <v>67.5</v>
      </c>
      <c r="M1102" s="67">
        <f t="shared" si="205"/>
        <v>4387</v>
      </c>
      <c r="N1102" s="66">
        <f>N1103+N1113</f>
        <v>1041.5</v>
      </c>
      <c r="O1102" s="67">
        <f t="shared" si="197"/>
        <v>5428.5</v>
      </c>
    </row>
    <row r="1103" spans="1:15" ht="33" x14ac:dyDescent="0.2">
      <c r="A1103" s="64" t="str">
        <f ca="1">IF(ISERROR(MATCH(E1103,Код_КЦСР,0)),"",INDIRECT(ADDRESS(MATCH(E1103,Код_КЦСР,0)+1,2,,,"КЦСР")))</f>
        <v>Муниципальная программа «Развитие земельно-имущественного комплекса города Череповца» на 2014 – 2022 годы</v>
      </c>
      <c r="B1103" s="26">
        <v>811</v>
      </c>
      <c r="C1103" s="65" t="s">
        <v>70</v>
      </c>
      <c r="D1103" s="65" t="s">
        <v>55</v>
      </c>
      <c r="E1103" s="26" t="s">
        <v>356</v>
      </c>
      <c r="F1103" s="26"/>
      <c r="G1103" s="66">
        <f>G1104+G1107</f>
        <v>2730.1</v>
      </c>
      <c r="H1103" s="66">
        <f>H1104+H1107</f>
        <v>0</v>
      </c>
      <c r="I1103" s="67">
        <f t="shared" si="201"/>
        <v>2730.1</v>
      </c>
      <c r="J1103" s="66">
        <f>J1104+J1107</f>
        <v>334.8</v>
      </c>
      <c r="K1103" s="67">
        <f t="shared" si="204"/>
        <v>3064.9</v>
      </c>
      <c r="L1103" s="66">
        <f>L1104+L1107</f>
        <v>67.5</v>
      </c>
      <c r="M1103" s="67">
        <f t="shared" si="205"/>
        <v>3132.4</v>
      </c>
      <c r="N1103" s="66">
        <f>N1104+N1107</f>
        <v>1041.5</v>
      </c>
      <c r="O1103" s="67">
        <f t="shared" si="197"/>
        <v>4173.8999999999996</v>
      </c>
    </row>
    <row r="1104" spans="1:15" ht="33" x14ac:dyDescent="0.2">
      <c r="A1104" s="64" t="str">
        <f ca="1">IF(ISERROR(MATCH(E1104,Код_КЦСР,0)),"",INDIRECT(ADDRESS(MATCH(E1104,Код_КЦСР,0)+1,2,,,"КЦСР")))</f>
        <v>Формирование и обеспечение сохранности муниципального земельно-имущественного комплекса</v>
      </c>
      <c r="B1104" s="26">
        <v>811</v>
      </c>
      <c r="C1104" s="65" t="s">
        <v>70</v>
      </c>
      <c r="D1104" s="65" t="s">
        <v>55</v>
      </c>
      <c r="E1104" s="26" t="s">
        <v>357</v>
      </c>
      <c r="F1104" s="26"/>
      <c r="G1104" s="66">
        <f t="shared" ref="G1104:N1105" si="206">G1105</f>
        <v>445.7</v>
      </c>
      <c r="H1104" s="66">
        <f t="shared" si="206"/>
        <v>0</v>
      </c>
      <c r="I1104" s="67">
        <f t="shared" si="201"/>
        <v>445.7</v>
      </c>
      <c r="J1104" s="66">
        <f t="shared" si="206"/>
        <v>272.5</v>
      </c>
      <c r="K1104" s="67">
        <f t="shared" si="204"/>
        <v>718.2</v>
      </c>
      <c r="L1104" s="66">
        <f t="shared" si="206"/>
        <v>-96.9</v>
      </c>
      <c r="M1104" s="67">
        <f t="shared" si="205"/>
        <v>621.30000000000007</v>
      </c>
      <c r="N1104" s="66">
        <f t="shared" si="206"/>
        <v>0</v>
      </c>
      <c r="O1104" s="67">
        <f t="shared" si="197"/>
        <v>621.30000000000007</v>
      </c>
    </row>
    <row r="1105" spans="1:15" ht="33" x14ac:dyDescent="0.2">
      <c r="A1105" s="64" t="str">
        <f ca="1">IF(ISERROR(MATCH(F1105,Код_КВР,0)),"",INDIRECT(ADDRESS(MATCH(F1105,Код_КВР,0)+1,2,,,"КВР")))</f>
        <v>Закупка товаров, работ и услуг для обеспечения государственных (муниципальных) нужд</v>
      </c>
      <c r="B1105" s="26">
        <v>811</v>
      </c>
      <c r="C1105" s="65" t="s">
        <v>70</v>
      </c>
      <c r="D1105" s="65" t="s">
        <v>55</v>
      </c>
      <c r="E1105" s="26" t="s">
        <v>357</v>
      </c>
      <c r="F1105" s="26">
        <v>200</v>
      </c>
      <c r="G1105" s="66">
        <f t="shared" si="206"/>
        <v>445.7</v>
      </c>
      <c r="H1105" s="66">
        <f t="shared" si="206"/>
        <v>0</v>
      </c>
      <c r="I1105" s="67">
        <f t="shared" si="201"/>
        <v>445.7</v>
      </c>
      <c r="J1105" s="66">
        <f t="shared" si="206"/>
        <v>272.5</v>
      </c>
      <c r="K1105" s="67">
        <f t="shared" si="204"/>
        <v>718.2</v>
      </c>
      <c r="L1105" s="66">
        <f t="shared" si="206"/>
        <v>-96.9</v>
      </c>
      <c r="M1105" s="67">
        <f t="shared" si="205"/>
        <v>621.30000000000007</v>
      </c>
      <c r="N1105" s="66">
        <f t="shared" si="206"/>
        <v>0</v>
      </c>
      <c r="O1105" s="67">
        <f t="shared" si="197"/>
        <v>621.30000000000007</v>
      </c>
    </row>
    <row r="1106" spans="1:15" ht="33" x14ac:dyDescent="0.2">
      <c r="A1106" s="64" t="str">
        <f ca="1">IF(ISERROR(MATCH(F1106,Код_КВР,0)),"",INDIRECT(ADDRESS(MATCH(F1106,Код_КВР,0)+1,2,,,"КВР")))</f>
        <v>Иные закупки товаров, работ и услуг для обеспечения государственных (муниципальных) нужд</v>
      </c>
      <c r="B1106" s="26">
        <v>811</v>
      </c>
      <c r="C1106" s="65" t="s">
        <v>70</v>
      </c>
      <c r="D1106" s="65" t="s">
        <v>55</v>
      </c>
      <c r="E1106" s="26" t="s">
        <v>357</v>
      </c>
      <c r="F1106" s="26">
        <v>240</v>
      </c>
      <c r="G1106" s="66">
        <f>392.7+3+50</f>
        <v>445.7</v>
      </c>
      <c r="H1106" s="66"/>
      <c r="I1106" s="67">
        <f t="shared" si="201"/>
        <v>445.7</v>
      </c>
      <c r="J1106" s="66">
        <v>272.5</v>
      </c>
      <c r="K1106" s="67">
        <f t="shared" si="204"/>
        <v>718.2</v>
      </c>
      <c r="L1106" s="66">
        <f>-50-46.9</f>
        <v>-96.9</v>
      </c>
      <c r="M1106" s="67">
        <f t="shared" si="205"/>
        <v>621.30000000000007</v>
      </c>
      <c r="N1106" s="66"/>
      <c r="O1106" s="67">
        <f t="shared" si="197"/>
        <v>621.30000000000007</v>
      </c>
    </row>
    <row r="1107" spans="1:15" ht="33" x14ac:dyDescent="0.2">
      <c r="A1107" s="64" t="str">
        <f ca="1">IF(ISERROR(MATCH(E1107,Код_КЦСР,0)),"",INDIRECT(ADDRESS(MATCH(E1107,Код_КЦСР,0)+1,2,,,"КЦСР")))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1107" s="26">
        <v>811</v>
      </c>
      <c r="C1107" s="65" t="s">
        <v>70</v>
      </c>
      <c r="D1107" s="65" t="s">
        <v>55</v>
      </c>
      <c r="E1107" s="26" t="s">
        <v>358</v>
      </c>
      <c r="F1107" s="26"/>
      <c r="G1107" s="66">
        <f>G1108+G1110</f>
        <v>2284.4</v>
      </c>
      <c r="H1107" s="66">
        <f>H1108+H1110</f>
        <v>0</v>
      </c>
      <c r="I1107" s="67">
        <f t="shared" si="201"/>
        <v>2284.4</v>
      </c>
      <c r="J1107" s="66">
        <f>J1108+J1110</f>
        <v>62.300000000000011</v>
      </c>
      <c r="K1107" s="67">
        <f t="shared" si="204"/>
        <v>2346.7000000000003</v>
      </c>
      <c r="L1107" s="66">
        <f>L1108+L1110</f>
        <v>164.4</v>
      </c>
      <c r="M1107" s="67">
        <f t="shared" si="205"/>
        <v>2511.1000000000004</v>
      </c>
      <c r="N1107" s="66">
        <f>N1108+N1110</f>
        <v>1041.5</v>
      </c>
      <c r="O1107" s="67">
        <f t="shared" ref="O1107:O1170" si="207">M1107+N1107</f>
        <v>3552.6000000000004</v>
      </c>
    </row>
    <row r="1108" spans="1:15" ht="33" x14ac:dyDescent="0.2">
      <c r="A1108" s="64" t="str">
        <f ca="1">IF(ISERROR(MATCH(F1108,Код_КВР,0)),"",INDIRECT(ADDRESS(MATCH(F1108,Код_КВР,0)+1,2,,,"КВР")))</f>
        <v>Закупка товаров, работ и услуг для обеспечения государственных (муниципальных) нужд</v>
      </c>
      <c r="B1108" s="26">
        <v>811</v>
      </c>
      <c r="C1108" s="65" t="s">
        <v>70</v>
      </c>
      <c r="D1108" s="65" t="s">
        <v>55</v>
      </c>
      <c r="E1108" s="26" t="s">
        <v>358</v>
      </c>
      <c r="F1108" s="26">
        <v>200</v>
      </c>
      <c r="G1108" s="66">
        <f t="shared" ref="G1108:N1108" si="208">G1109</f>
        <v>2134.4</v>
      </c>
      <c r="H1108" s="66">
        <f t="shared" si="208"/>
        <v>0</v>
      </c>
      <c r="I1108" s="67">
        <f t="shared" si="201"/>
        <v>2134.4</v>
      </c>
      <c r="J1108" s="66">
        <f t="shared" si="208"/>
        <v>-272.5</v>
      </c>
      <c r="K1108" s="67">
        <f t="shared" si="204"/>
        <v>1861.9</v>
      </c>
      <c r="L1108" s="66">
        <f t="shared" si="208"/>
        <v>0</v>
      </c>
      <c r="M1108" s="67">
        <f t="shared" si="205"/>
        <v>1861.9</v>
      </c>
      <c r="N1108" s="66">
        <f t="shared" si="208"/>
        <v>0</v>
      </c>
      <c r="O1108" s="67">
        <f t="shared" si="207"/>
        <v>1861.9</v>
      </c>
    </row>
    <row r="1109" spans="1:15" ht="33" x14ac:dyDescent="0.2">
      <c r="A1109" s="64" t="str">
        <f ca="1">IF(ISERROR(MATCH(F1109,Код_КВР,0)),"",INDIRECT(ADDRESS(MATCH(F1109,Код_КВР,0)+1,2,,,"КВР")))</f>
        <v>Иные закупки товаров, работ и услуг для обеспечения государственных (муниципальных) нужд</v>
      </c>
      <c r="B1109" s="26">
        <v>811</v>
      </c>
      <c r="C1109" s="65" t="s">
        <v>70</v>
      </c>
      <c r="D1109" s="65" t="s">
        <v>55</v>
      </c>
      <c r="E1109" s="26" t="s">
        <v>358</v>
      </c>
      <c r="F1109" s="26">
        <v>240</v>
      </c>
      <c r="G1109" s="66">
        <f>2066.1+18.9+49.4</f>
        <v>2134.4</v>
      </c>
      <c r="H1109" s="66"/>
      <c r="I1109" s="67">
        <f t="shared" si="201"/>
        <v>2134.4</v>
      </c>
      <c r="J1109" s="66">
        <v>-272.5</v>
      </c>
      <c r="K1109" s="67">
        <f t="shared" si="204"/>
        <v>1861.9</v>
      </c>
      <c r="L1109" s="66"/>
      <c r="M1109" s="67">
        <f t="shared" si="205"/>
        <v>1861.9</v>
      </c>
      <c r="N1109" s="66"/>
      <c r="O1109" s="67">
        <f t="shared" si="207"/>
        <v>1861.9</v>
      </c>
    </row>
    <row r="1110" spans="1:15" x14ac:dyDescent="0.2">
      <c r="A1110" s="64" t="str">
        <f ca="1">IF(ISERROR(MATCH(F1110,Код_КВР,0)),"",INDIRECT(ADDRESS(MATCH(F1110,Код_КВР,0)+1,2,,,"КВР")))</f>
        <v>Иные бюджетные ассигнования</v>
      </c>
      <c r="B1110" s="26">
        <v>811</v>
      </c>
      <c r="C1110" s="65" t="s">
        <v>70</v>
      </c>
      <c r="D1110" s="65" t="s">
        <v>55</v>
      </c>
      <c r="E1110" s="26" t="s">
        <v>358</v>
      </c>
      <c r="F1110" s="26">
        <v>800</v>
      </c>
      <c r="G1110" s="66">
        <f>G1111+G1112</f>
        <v>150</v>
      </c>
      <c r="H1110" s="66">
        <f>H1111+H1112</f>
        <v>0</v>
      </c>
      <c r="I1110" s="67">
        <f t="shared" si="201"/>
        <v>150</v>
      </c>
      <c r="J1110" s="66">
        <f>J1111+J1112</f>
        <v>334.8</v>
      </c>
      <c r="K1110" s="67">
        <f t="shared" si="204"/>
        <v>484.8</v>
      </c>
      <c r="L1110" s="66">
        <f>L1111+L1112</f>
        <v>164.4</v>
      </c>
      <c r="M1110" s="67">
        <f t="shared" si="205"/>
        <v>649.20000000000005</v>
      </c>
      <c r="N1110" s="66">
        <f>N1111+N1112</f>
        <v>1041.5</v>
      </c>
      <c r="O1110" s="67">
        <f t="shared" si="207"/>
        <v>1690.7</v>
      </c>
    </row>
    <row r="1111" spans="1:15" x14ac:dyDescent="0.2">
      <c r="A1111" s="64" t="str">
        <f ca="1">IF(ISERROR(MATCH(F1111,Код_КВР,0)),"",INDIRECT(ADDRESS(MATCH(F1111,Код_КВР,0)+1,2,,,"КВР")))</f>
        <v>Исполнение судебных актов</v>
      </c>
      <c r="B1111" s="26">
        <v>811</v>
      </c>
      <c r="C1111" s="65" t="s">
        <v>70</v>
      </c>
      <c r="D1111" s="65" t="s">
        <v>55</v>
      </c>
      <c r="E1111" s="26" t="s">
        <v>358</v>
      </c>
      <c r="F1111" s="26">
        <v>830</v>
      </c>
      <c r="G1111" s="88">
        <v>150</v>
      </c>
      <c r="H1111" s="88"/>
      <c r="I1111" s="67">
        <f t="shared" si="201"/>
        <v>150</v>
      </c>
      <c r="J1111" s="88">
        <f>122.9+39.9+160.5</f>
        <v>323.3</v>
      </c>
      <c r="K1111" s="67">
        <f t="shared" si="204"/>
        <v>473.3</v>
      </c>
      <c r="L1111" s="88">
        <v>164.4</v>
      </c>
      <c r="M1111" s="67">
        <f t="shared" si="205"/>
        <v>637.70000000000005</v>
      </c>
      <c r="N1111" s="88">
        <f>24+149.3+12</f>
        <v>185.3</v>
      </c>
      <c r="O1111" s="67">
        <f t="shared" si="207"/>
        <v>823</v>
      </c>
    </row>
    <row r="1112" spans="1:15" x14ac:dyDescent="0.2">
      <c r="A1112" s="64" t="str">
        <f ca="1">IF(ISERROR(MATCH(F1112,Код_КВР,0)),"",INDIRECT(ADDRESS(MATCH(F1112,Код_КВР,0)+1,2,,,"КВР")))</f>
        <v>Уплата налогов, сборов и иных платежей</v>
      </c>
      <c r="B1112" s="26">
        <v>811</v>
      </c>
      <c r="C1112" s="65" t="s">
        <v>70</v>
      </c>
      <c r="D1112" s="65" t="s">
        <v>55</v>
      </c>
      <c r="E1112" s="26" t="s">
        <v>358</v>
      </c>
      <c r="F1112" s="26">
        <v>850</v>
      </c>
      <c r="G1112" s="66"/>
      <c r="H1112" s="66"/>
      <c r="I1112" s="67">
        <f t="shared" si="201"/>
        <v>0</v>
      </c>
      <c r="J1112" s="66">
        <v>11.5</v>
      </c>
      <c r="K1112" s="67">
        <f t="shared" si="204"/>
        <v>11.5</v>
      </c>
      <c r="L1112" s="66"/>
      <c r="M1112" s="67">
        <f t="shared" si="205"/>
        <v>11.5</v>
      </c>
      <c r="N1112" s="66">
        <v>856.2</v>
      </c>
      <c r="O1112" s="67">
        <f t="shared" si="207"/>
        <v>867.7</v>
      </c>
    </row>
    <row r="1113" spans="1:15" ht="66" x14ac:dyDescent="0.2">
      <c r="A1113" s="64" t="str">
        <f ca="1">IF(ISERROR(MATCH(E1113,Код_КЦСР,0)),"",INDIRECT(ADDRESS(MATCH(E1113,Код_КЦСР,0)+1,2,,,"КЦСР")))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113" s="26">
        <v>811</v>
      </c>
      <c r="C1113" s="65" t="s">
        <v>70</v>
      </c>
      <c r="D1113" s="65" t="s">
        <v>55</v>
      </c>
      <c r="E1113" s="26" t="s">
        <v>362</v>
      </c>
      <c r="F1113" s="26"/>
      <c r="G1113" s="66">
        <f t="shared" ref="G1113:N1116" si="209">G1114</f>
        <v>1254.5999999999999</v>
      </c>
      <c r="H1113" s="66">
        <f t="shared" si="209"/>
        <v>0</v>
      </c>
      <c r="I1113" s="67">
        <f t="shared" si="201"/>
        <v>1254.5999999999999</v>
      </c>
      <c r="J1113" s="66">
        <f t="shared" si="209"/>
        <v>0</v>
      </c>
      <c r="K1113" s="67">
        <f t="shared" si="204"/>
        <v>1254.5999999999999</v>
      </c>
      <c r="L1113" s="66">
        <f t="shared" si="209"/>
        <v>0</v>
      </c>
      <c r="M1113" s="67">
        <f t="shared" si="205"/>
        <v>1254.5999999999999</v>
      </c>
      <c r="N1113" s="66">
        <f t="shared" si="209"/>
        <v>0</v>
      </c>
      <c r="O1113" s="67">
        <f t="shared" si="207"/>
        <v>1254.5999999999999</v>
      </c>
    </row>
    <row r="1114" spans="1:15" x14ac:dyDescent="0.2">
      <c r="A1114" s="64" t="str">
        <f ca="1">IF(ISERROR(MATCH(E1114,Код_КЦСР,0)),"",INDIRECT(ADDRESS(MATCH(E1114,Код_КЦСР,0)+1,2,,,"КЦСР")))</f>
        <v>Капитальный ремонт объектов муниципальной собственности</v>
      </c>
      <c r="B1114" s="26">
        <v>811</v>
      </c>
      <c r="C1114" s="65" t="s">
        <v>70</v>
      </c>
      <c r="D1114" s="65" t="s">
        <v>55</v>
      </c>
      <c r="E1114" s="26" t="s">
        <v>366</v>
      </c>
      <c r="F1114" s="26"/>
      <c r="G1114" s="66">
        <f t="shared" si="209"/>
        <v>1254.5999999999999</v>
      </c>
      <c r="H1114" s="66">
        <f t="shared" si="209"/>
        <v>0</v>
      </c>
      <c r="I1114" s="67">
        <f t="shared" si="201"/>
        <v>1254.5999999999999</v>
      </c>
      <c r="J1114" s="66">
        <f t="shared" si="209"/>
        <v>0</v>
      </c>
      <c r="K1114" s="67">
        <f t="shared" si="204"/>
        <v>1254.5999999999999</v>
      </c>
      <c r="L1114" s="66">
        <f t="shared" si="209"/>
        <v>0</v>
      </c>
      <c r="M1114" s="67">
        <f t="shared" si="205"/>
        <v>1254.5999999999999</v>
      </c>
      <c r="N1114" s="66">
        <f t="shared" si="209"/>
        <v>0</v>
      </c>
      <c r="O1114" s="67">
        <f t="shared" si="207"/>
        <v>1254.5999999999999</v>
      </c>
    </row>
    <row r="1115" spans="1:15" ht="39" customHeight="1" x14ac:dyDescent="0.2">
      <c r="A1115" s="64" t="str">
        <f ca="1">IF(ISERROR(MATCH(E1115,Код_КЦСР,0)),"",INDIRECT(ADDRESS(MATCH(E1115,Код_КЦСР,0)+1,2,,,"КЦСР")))</f>
        <v>Капитальный ремонт объектов муниципальной собственности, за счет средств городского бюджета</v>
      </c>
      <c r="B1115" s="26">
        <v>811</v>
      </c>
      <c r="C1115" s="65" t="s">
        <v>70</v>
      </c>
      <c r="D1115" s="65" t="s">
        <v>55</v>
      </c>
      <c r="E1115" s="26" t="s">
        <v>559</v>
      </c>
      <c r="F1115" s="26"/>
      <c r="G1115" s="66">
        <f t="shared" si="209"/>
        <v>1254.5999999999999</v>
      </c>
      <c r="H1115" s="66">
        <f t="shared" si="209"/>
        <v>0</v>
      </c>
      <c r="I1115" s="67">
        <f t="shared" si="201"/>
        <v>1254.5999999999999</v>
      </c>
      <c r="J1115" s="66">
        <f t="shared" si="209"/>
        <v>0</v>
      </c>
      <c r="K1115" s="67">
        <f t="shared" si="204"/>
        <v>1254.5999999999999</v>
      </c>
      <c r="L1115" s="66">
        <f t="shared" si="209"/>
        <v>0</v>
      </c>
      <c r="M1115" s="67">
        <f t="shared" si="205"/>
        <v>1254.5999999999999</v>
      </c>
      <c r="N1115" s="66">
        <f t="shared" si="209"/>
        <v>0</v>
      </c>
      <c r="O1115" s="67">
        <f t="shared" si="207"/>
        <v>1254.5999999999999</v>
      </c>
    </row>
    <row r="1116" spans="1:15" ht="33" x14ac:dyDescent="0.2">
      <c r="A1116" s="64" t="str">
        <f ca="1">IF(ISERROR(MATCH(F1116,Код_КВР,0)),"",INDIRECT(ADDRESS(MATCH(F1116,Код_КВР,0)+1,2,,,"КВР")))</f>
        <v>Закупка товаров, работ и услуг для обеспечения государственных (муниципальных) нужд</v>
      </c>
      <c r="B1116" s="26">
        <v>811</v>
      </c>
      <c r="C1116" s="65" t="s">
        <v>70</v>
      </c>
      <c r="D1116" s="65" t="s">
        <v>55</v>
      </c>
      <c r="E1116" s="26" t="s">
        <v>559</v>
      </c>
      <c r="F1116" s="26">
        <v>200</v>
      </c>
      <c r="G1116" s="66">
        <f t="shared" si="209"/>
        <v>1254.5999999999999</v>
      </c>
      <c r="H1116" s="66">
        <f t="shared" si="209"/>
        <v>0</v>
      </c>
      <c r="I1116" s="67">
        <f t="shared" si="201"/>
        <v>1254.5999999999999</v>
      </c>
      <c r="J1116" s="66">
        <f t="shared" si="209"/>
        <v>0</v>
      </c>
      <c r="K1116" s="67">
        <f t="shared" si="204"/>
        <v>1254.5999999999999</v>
      </c>
      <c r="L1116" s="66">
        <f t="shared" si="209"/>
        <v>0</v>
      </c>
      <c r="M1116" s="67">
        <f t="shared" si="205"/>
        <v>1254.5999999999999</v>
      </c>
      <c r="N1116" s="66">
        <f t="shared" si="209"/>
        <v>0</v>
      </c>
      <c r="O1116" s="67">
        <f t="shared" si="207"/>
        <v>1254.5999999999999</v>
      </c>
    </row>
    <row r="1117" spans="1:15" ht="33" x14ac:dyDescent="0.2">
      <c r="A1117" s="64" t="str">
        <f ca="1">IF(ISERROR(MATCH(F1117,Код_КВР,0)),"",INDIRECT(ADDRESS(MATCH(F1117,Код_КВР,0)+1,2,,,"КВР")))</f>
        <v>Иные закупки товаров, работ и услуг для обеспечения государственных (муниципальных) нужд</v>
      </c>
      <c r="B1117" s="26">
        <v>811</v>
      </c>
      <c r="C1117" s="65" t="s">
        <v>70</v>
      </c>
      <c r="D1117" s="65" t="s">
        <v>55</v>
      </c>
      <c r="E1117" s="26" t="s">
        <v>559</v>
      </c>
      <c r="F1117" s="26">
        <v>240</v>
      </c>
      <c r="G1117" s="66">
        <v>1254.5999999999999</v>
      </c>
      <c r="H1117" s="66"/>
      <c r="I1117" s="67">
        <f t="shared" si="201"/>
        <v>1254.5999999999999</v>
      </c>
      <c r="J1117" s="66"/>
      <c r="K1117" s="67">
        <f t="shared" si="204"/>
        <v>1254.5999999999999</v>
      </c>
      <c r="L1117" s="66"/>
      <c r="M1117" s="67">
        <f t="shared" si="205"/>
        <v>1254.5999999999999</v>
      </c>
      <c r="N1117" s="66"/>
      <c r="O1117" s="67">
        <f t="shared" si="207"/>
        <v>1254.5999999999999</v>
      </c>
    </row>
    <row r="1118" spans="1:15" x14ac:dyDescent="0.2">
      <c r="A1118" s="64" t="str">
        <f ca="1">IF(ISERROR(MATCH(C1118,Код_Раздел,0)),"",INDIRECT(ADDRESS(MATCH(C1118,Код_Раздел,0)+1,2,,,"Раздел")))</f>
        <v>Национальная экономика</v>
      </c>
      <c r="B1118" s="26">
        <v>811</v>
      </c>
      <c r="C1118" s="65" t="s">
        <v>73</v>
      </c>
      <c r="D1118" s="65"/>
      <c r="E1118" s="26"/>
      <c r="F1118" s="26"/>
      <c r="G1118" s="66">
        <f>G1119+G1128+G1157</f>
        <v>339013</v>
      </c>
      <c r="H1118" s="66">
        <f>H1119+H1128+H1157</f>
        <v>18553.599999999999</v>
      </c>
      <c r="I1118" s="67">
        <f t="shared" si="201"/>
        <v>357566.6</v>
      </c>
      <c r="J1118" s="66">
        <f>J1119+J1128+J1157</f>
        <v>-728.1</v>
      </c>
      <c r="K1118" s="67">
        <f t="shared" si="204"/>
        <v>356838.5</v>
      </c>
      <c r="L1118" s="66">
        <f>L1119+L1128+L1157</f>
        <v>42282.2</v>
      </c>
      <c r="M1118" s="67">
        <f t="shared" si="205"/>
        <v>399120.7</v>
      </c>
      <c r="N1118" s="66">
        <f>N1119+N1128+N1157</f>
        <v>-1515.3</v>
      </c>
      <c r="O1118" s="67">
        <f t="shared" si="207"/>
        <v>397605.4</v>
      </c>
    </row>
    <row r="1119" spans="1:15" x14ac:dyDescent="0.2">
      <c r="A1119" s="75" t="s">
        <v>146</v>
      </c>
      <c r="B1119" s="26">
        <v>811</v>
      </c>
      <c r="C1119" s="65" t="s">
        <v>73</v>
      </c>
      <c r="D1119" s="65" t="s">
        <v>79</v>
      </c>
      <c r="E1119" s="26"/>
      <c r="F1119" s="26"/>
      <c r="G1119" s="66">
        <f>G1124+G1120</f>
        <v>71138.8</v>
      </c>
      <c r="H1119" s="66">
        <f>H1124+H1120</f>
        <v>0</v>
      </c>
      <c r="I1119" s="67">
        <f t="shared" si="201"/>
        <v>71138.8</v>
      </c>
      <c r="J1119" s="66">
        <f>J1124+J1120</f>
        <v>0</v>
      </c>
      <c r="K1119" s="67">
        <f t="shared" si="204"/>
        <v>71138.8</v>
      </c>
      <c r="L1119" s="66">
        <f>L1124+L1120</f>
        <v>0</v>
      </c>
      <c r="M1119" s="67">
        <f t="shared" si="205"/>
        <v>71138.8</v>
      </c>
      <c r="N1119" s="66">
        <f>N1124+N1120</f>
        <v>0</v>
      </c>
      <c r="O1119" s="67">
        <f t="shared" si="207"/>
        <v>71138.8</v>
      </c>
    </row>
    <row r="1120" spans="1:15" ht="33" x14ac:dyDescent="0.2">
      <c r="A1120" s="64" t="str">
        <f ca="1">IF(ISERROR(MATCH(E1120,Код_КЦСР,0)),"",INDIRECT(ADDRESS(MATCH(E1120,Код_КЦСР,0)+1,2,,,"КЦСР")))</f>
        <v>Муниципальная программа «Развитие городского общественного транспорта» на 2014 – 2022 годы</v>
      </c>
      <c r="B1120" s="26">
        <v>811</v>
      </c>
      <c r="C1120" s="65" t="s">
        <v>73</v>
      </c>
      <c r="D1120" s="65" t="s">
        <v>79</v>
      </c>
      <c r="E1120" s="26" t="s">
        <v>515</v>
      </c>
      <c r="F1120" s="26"/>
      <c r="G1120" s="66">
        <f t="shared" ref="G1120:N1122" si="210">G1121</f>
        <v>37238.300000000003</v>
      </c>
      <c r="H1120" s="66">
        <f t="shared" si="210"/>
        <v>0</v>
      </c>
      <c r="I1120" s="67">
        <f t="shared" si="201"/>
        <v>37238.300000000003</v>
      </c>
      <c r="J1120" s="66">
        <f t="shared" si="210"/>
        <v>0</v>
      </c>
      <c r="K1120" s="67">
        <f t="shared" si="204"/>
        <v>37238.300000000003</v>
      </c>
      <c r="L1120" s="66">
        <f t="shared" si="210"/>
        <v>0</v>
      </c>
      <c r="M1120" s="67">
        <f t="shared" si="205"/>
        <v>37238.300000000003</v>
      </c>
      <c r="N1120" s="66">
        <f t="shared" si="210"/>
        <v>0</v>
      </c>
      <c r="O1120" s="67">
        <f t="shared" si="207"/>
        <v>37238.300000000003</v>
      </c>
    </row>
    <row r="1121" spans="1:15" x14ac:dyDescent="0.2">
      <c r="A1121" s="64" t="str">
        <f ca="1">IF(ISERROR(MATCH(E1121,Код_КЦСР,0)),"",INDIRECT(ADDRESS(MATCH(E1121,Код_КЦСР,0)+1,2,,,"КЦСР")))</f>
        <v>Приобретение автобусов в муниципальную собственность</v>
      </c>
      <c r="B1121" s="26">
        <v>811</v>
      </c>
      <c r="C1121" s="65" t="s">
        <v>73</v>
      </c>
      <c r="D1121" s="65" t="s">
        <v>79</v>
      </c>
      <c r="E1121" s="26" t="s">
        <v>522</v>
      </c>
      <c r="F1121" s="26"/>
      <c r="G1121" s="66">
        <f t="shared" si="210"/>
        <v>37238.300000000003</v>
      </c>
      <c r="H1121" s="66">
        <f t="shared" si="210"/>
        <v>0</v>
      </c>
      <c r="I1121" s="67">
        <f t="shared" si="201"/>
        <v>37238.300000000003</v>
      </c>
      <c r="J1121" s="66">
        <f t="shared" si="210"/>
        <v>0</v>
      </c>
      <c r="K1121" s="67">
        <f t="shared" si="204"/>
        <v>37238.300000000003</v>
      </c>
      <c r="L1121" s="66">
        <f t="shared" si="210"/>
        <v>0</v>
      </c>
      <c r="M1121" s="67">
        <f t="shared" si="205"/>
        <v>37238.300000000003</v>
      </c>
      <c r="N1121" s="66">
        <f t="shared" si="210"/>
        <v>0</v>
      </c>
      <c r="O1121" s="67">
        <f t="shared" si="207"/>
        <v>37238.300000000003</v>
      </c>
    </row>
    <row r="1122" spans="1:15" ht="33" x14ac:dyDescent="0.2">
      <c r="A1122" s="64" t="str">
        <f ca="1">IF(ISERROR(MATCH(F1122,Код_КВР,0)),"",INDIRECT(ADDRESS(MATCH(F1122,Код_КВР,0)+1,2,,,"КВР")))</f>
        <v>Закупка товаров, работ и услуг для обеспечения государственных (муниципальных) нужд</v>
      </c>
      <c r="B1122" s="26">
        <v>811</v>
      </c>
      <c r="C1122" s="65" t="s">
        <v>73</v>
      </c>
      <c r="D1122" s="65" t="s">
        <v>79</v>
      </c>
      <c r="E1122" s="26" t="s">
        <v>522</v>
      </c>
      <c r="F1122" s="26">
        <v>200</v>
      </c>
      <c r="G1122" s="66">
        <f t="shared" si="210"/>
        <v>37238.300000000003</v>
      </c>
      <c r="H1122" s="66">
        <f t="shared" si="210"/>
        <v>0</v>
      </c>
      <c r="I1122" s="67">
        <f t="shared" si="201"/>
        <v>37238.300000000003</v>
      </c>
      <c r="J1122" s="66">
        <f t="shared" si="210"/>
        <v>0</v>
      </c>
      <c r="K1122" s="67">
        <f t="shared" si="204"/>
        <v>37238.300000000003</v>
      </c>
      <c r="L1122" s="66">
        <f t="shared" si="210"/>
        <v>0</v>
      </c>
      <c r="M1122" s="67">
        <f t="shared" si="205"/>
        <v>37238.300000000003</v>
      </c>
      <c r="N1122" s="66">
        <f t="shared" si="210"/>
        <v>0</v>
      </c>
      <c r="O1122" s="67">
        <f t="shared" si="207"/>
        <v>37238.300000000003</v>
      </c>
    </row>
    <row r="1123" spans="1:15" ht="33" x14ac:dyDescent="0.2">
      <c r="A1123" s="64" t="str">
        <f ca="1">IF(ISERROR(MATCH(F1123,Код_КВР,0)),"",INDIRECT(ADDRESS(MATCH(F1123,Код_КВР,0)+1,2,,,"КВР")))</f>
        <v>Иные закупки товаров, работ и услуг для обеспечения государственных (муниципальных) нужд</v>
      </c>
      <c r="B1123" s="26">
        <v>811</v>
      </c>
      <c r="C1123" s="65" t="s">
        <v>73</v>
      </c>
      <c r="D1123" s="65" t="s">
        <v>79</v>
      </c>
      <c r="E1123" s="26" t="s">
        <v>522</v>
      </c>
      <c r="F1123" s="26">
        <v>240</v>
      </c>
      <c r="G1123" s="66">
        <v>37238.300000000003</v>
      </c>
      <c r="H1123" s="66"/>
      <c r="I1123" s="67">
        <f t="shared" si="201"/>
        <v>37238.300000000003</v>
      </c>
      <c r="J1123" s="66"/>
      <c r="K1123" s="67">
        <f t="shared" si="204"/>
        <v>37238.300000000003</v>
      </c>
      <c r="L1123" s="66"/>
      <c r="M1123" s="67">
        <f t="shared" si="205"/>
        <v>37238.300000000003</v>
      </c>
      <c r="N1123" s="66"/>
      <c r="O1123" s="67">
        <f t="shared" si="207"/>
        <v>37238.300000000003</v>
      </c>
    </row>
    <row r="1124" spans="1:15" ht="33" x14ac:dyDescent="0.2">
      <c r="A1124" s="64" t="str">
        <f ca="1">IF(ISERROR(MATCH(E1124,Код_КЦСР,0)),"",INDIRECT(ADDRESS(MATCH(E1124,Код_КЦСР,0)+1,2,,,"КЦСР")))</f>
        <v>Муниципальная программа «Развитие земельно-имущественного комплекса города Череповца» на 2014 – 2022 годы</v>
      </c>
      <c r="B1124" s="26">
        <v>811</v>
      </c>
      <c r="C1124" s="65" t="s">
        <v>73</v>
      </c>
      <c r="D1124" s="65" t="s">
        <v>79</v>
      </c>
      <c r="E1124" s="26" t="s">
        <v>356</v>
      </c>
      <c r="F1124" s="26"/>
      <c r="G1124" s="66">
        <f t="shared" ref="G1124:N1126" si="211">G1125</f>
        <v>33900.5</v>
      </c>
      <c r="H1124" s="66">
        <f t="shared" si="211"/>
        <v>0</v>
      </c>
      <c r="I1124" s="67">
        <f t="shared" si="201"/>
        <v>33900.5</v>
      </c>
      <c r="J1124" s="66">
        <f t="shared" si="211"/>
        <v>0</v>
      </c>
      <c r="K1124" s="67">
        <f t="shared" si="204"/>
        <v>33900.5</v>
      </c>
      <c r="L1124" s="66">
        <f t="shared" si="211"/>
        <v>0</v>
      </c>
      <c r="M1124" s="67">
        <f t="shared" si="205"/>
        <v>33900.5</v>
      </c>
      <c r="N1124" s="66">
        <f t="shared" si="211"/>
        <v>0</v>
      </c>
      <c r="O1124" s="67">
        <f t="shared" si="207"/>
        <v>33900.5</v>
      </c>
    </row>
    <row r="1125" spans="1:15" ht="33" x14ac:dyDescent="0.2">
      <c r="A1125" s="64" t="str">
        <f ca="1">IF(ISERROR(MATCH(E1125,Код_КЦСР,0)),"",INDIRECT(ADDRESS(MATCH(E1125,Код_КЦСР,0)+1,2,,,"КЦСР")))</f>
        <v>Формирование и обеспечение сохранности муниципального земельно-имущественного комплекса</v>
      </c>
      <c r="B1125" s="26">
        <v>811</v>
      </c>
      <c r="C1125" s="65" t="s">
        <v>73</v>
      </c>
      <c r="D1125" s="65" t="s">
        <v>79</v>
      </c>
      <c r="E1125" s="26" t="s">
        <v>357</v>
      </c>
      <c r="F1125" s="26"/>
      <c r="G1125" s="66">
        <f t="shared" si="211"/>
        <v>33900.5</v>
      </c>
      <c r="H1125" s="66">
        <f t="shared" si="211"/>
        <v>0</v>
      </c>
      <c r="I1125" s="67">
        <f t="shared" si="201"/>
        <v>33900.5</v>
      </c>
      <c r="J1125" s="66">
        <f t="shared" si="211"/>
        <v>0</v>
      </c>
      <c r="K1125" s="67">
        <f t="shared" si="204"/>
        <v>33900.5</v>
      </c>
      <c r="L1125" s="66">
        <f t="shared" si="211"/>
        <v>0</v>
      </c>
      <c r="M1125" s="67">
        <f t="shared" si="205"/>
        <v>33900.5</v>
      </c>
      <c r="N1125" s="66">
        <f t="shared" si="211"/>
        <v>0</v>
      </c>
      <c r="O1125" s="67">
        <f t="shared" si="207"/>
        <v>33900.5</v>
      </c>
    </row>
    <row r="1126" spans="1:15" ht="33" x14ac:dyDescent="0.2">
      <c r="A1126" s="64" t="str">
        <f ca="1">IF(ISERROR(MATCH(F1126,Код_КВР,0)),"",INDIRECT(ADDRESS(MATCH(F1126,Код_КВР,0)+1,2,,,"КВР")))</f>
        <v>Закупка товаров, работ и услуг для обеспечения государственных (муниципальных) нужд</v>
      </c>
      <c r="B1126" s="26">
        <v>811</v>
      </c>
      <c r="C1126" s="65" t="s">
        <v>73</v>
      </c>
      <c r="D1126" s="65" t="s">
        <v>79</v>
      </c>
      <c r="E1126" s="26" t="s">
        <v>357</v>
      </c>
      <c r="F1126" s="26">
        <v>200</v>
      </c>
      <c r="G1126" s="66">
        <f t="shared" si="211"/>
        <v>33900.5</v>
      </c>
      <c r="H1126" s="66">
        <f t="shared" si="211"/>
        <v>0</v>
      </c>
      <c r="I1126" s="67">
        <f t="shared" si="201"/>
        <v>33900.5</v>
      </c>
      <c r="J1126" s="66">
        <f t="shared" si="211"/>
        <v>0</v>
      </c>
      <c r="K1126" s="67">
        <f t="shared" si="204"/>
        <v>33900.5</v>
      </c>
      <c r="L1126" s="66">
        <f t="shared" si="211"/>
        <v>0</v>
      </c>
      <c r="M1126" s="67">
        <f t="shared" si="205"/>
        <v>33900.5</v>
      </c>
      <c r="N1126" s="66">
        <f t="shared" si="211"/>
        <v>0</v>
      </c>
      <c r="O1126" s="67">
        <f t="shared" si="207"/>
        <v>33900.5</v>
      </c>
    </row>
    <row r="1127" spans="1:15" ht="33" x14ac:dyDescent="0.2">
      <c r="A1127" s="64" t="str">
        <f ca="1">IF(ISERROR(MATCH(F1127,Код_КВР,0)),"",INDIRECT(ADDRESS(MATCH(F1127,Код_КВР,0)+1,2,,,"КВР")))</f>
        <v>Иные закупки товаров, работ и услуг для обеспечения государственных (муниципальных) нужд</v>
      </c>
      <c r="B1127" s="26">
        <v>811</v>
      </c>
      <c r="C1127" s="65" t="s">
        <v>73</v>
      </c>
      <c r="D1127" s="65" t="s">
        <v>79</v>
      </c>
      <c r="E1127" s="26" t="s">
        <v>357</v>
      </c>
      <c r="F1127" s="26">
        <v>240</v>
      </c>
      <c r="G1127" s="66">
        <v>33900.5</v>
      </c>
      <c r="H1127" s="66"/>
      <c r="I1127" s="67">
        <f t="shared" si="201"/>
        <v>33900.5</v>
      </c>
      <c r="J1127" s="66"/>
      <c r="K1127" s="67">
        <f t="shared" si="204"/>
        <v>33900.5</v>
      </c>
      <c r="L1127" s="66"/>
      <c r="M1127" s="67">
        <f t="shared" si="205"/>
        <v>33900.5</v>
      </c>
      <c r="N1127" s="66"/>
      <c r="O1127" s="67">
        <f t="shared" si="207"/>
        <v>33900.5</v>
      </c>
    </row>
    <row r="1128" spans="1:15" x14ac:dyDescent="0.2">
      <c r="A1128" s="75" t="s">
        <v>45</v>
      </c>
      <c r="B1128" s="26">
        <v>811</v>
      </c>
      <c r="C1128" s="65" t="s">
        <v>73</v>
      </c>
      <c r="D1128" s="65" t="s">
        <v>76</v>
      </c>
      <c r="E1128" s="26"/>
      <c r="F1128" s="26"/>
      <c r="G1128" s="66">
        <f>G1129</f>
        <v>22862.6</v>
      </c>
      <c r="H1128" s="66">
        <f>H1129</f>
        <v>18553.599999999999</v>
      </c>
      <c r="I1128" s="67">
        <f t="shared" si="201"/>
        <v>41416.199999999997</v>
      </c>
      <c r="J1128" s="66">
        <f>J1129</f>
        <v>-393.3</v>
      </c>
      <c r="K1128" s="67">
        <f t="shared" si="204"/>
        <v>41022.899999999994</v>
      </c>
      <c r="L1128" s="66">
        <f>L1129</f>
        <v>40670.1</v>
      </c>
      <c r="M1128" s="67">
        <f t="shared" si="205"/>
        <v>81693</v>
      </c>
      <c r="N1128" s="66">
        <f>N1129</f>
        <v>-470.2</v>
      </c>
      <c r="O1128" s="67">
        <f t="shared" si="207"/>
        <v>81222.8</v>
      </c>
    </row>
    <row r="1129" spans="1:15" ht="66" x14ac:dyDescent="0.2">
      <c r="A1129" s="64" t="str">
        <f ca="1">IF(ISERROR(MATCH(E1129,Код_КЦСР,0)),"",INDIRECT(ADDRESS(MATCH(E1129,Код_КЦСР,0)+1,2,,,"КЦСР")))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129" s="26">
        <v>811</v>
      </c>
      <c r="C1129" s="65" t="s">
        <v>73</v>
      </c>
      <c r="D1129" s="65" t="s">
        <v>76</v>
      </c>
      <c r="E1129" s="26" t="s">
        <v>362</v>
      </c>
      <c r="F1129" s="26"/>
      <c r="G1129" s="66">
        <f>G1130+G1147</f>
        <v>22862.6</v>
      </c>
      <c r="H1129" s="66">
        <f>H1130+H1147</f>
        <v>18553.599999999999</v>
      </c>
      <c r="I1129" s="67">
        <f t="shared" si="201"/>
        <v>41416.199999999997</v>
      </c>
      <c r="J1129" s="66">
        <f>J1130+J1147</f>
        <v>-393.3</v>
      </c>
      <c r="K1129" s="67">
        <f t="shared" si="204"/>
        <v>41022.899999999994</v>
      </c>
      <c r="L1129" s="66">
        <f>L1130+L1147</f>
        <v>40670.1</v>
      </c>
      <c r="M1129" s="67">
        <f t="shared" si="205"/>
        <v>81693</v>
      </c>
      <c r="N1129" s="66">
        <f>N1130+N1147</f>
        <v>-470.2</v>
      </c>
      <c r="O1129" s="67">
        <f t="shared" si="207"/>
        <v>81222.8</v>
      </c>
    </row>
    <row r="1130" spans="1:15" ht="33" x14ac:dyDescent="0.2">
      <c r="A1130" s="64" t="str">
        <f ca="1">IF(ISERROR(MATCH(E1130,Код_КЦСР,0)),"",INDIRECT(ADDRESS(MATCH(E1130,Код_КЦСР,0)+1,2,,,"КЦСР")))</f>
        <v>Осуществление бюджетных инвестиций в объекты муниципальной собственности</v>
      </c>
      <c r="B1130" s="26">
        <v>811</v>
      </c>
      <c r="C1130" s="65" t="s">
        <v>73</v>
      </c>
      <c r="D1130" s="65" t="s">
        <v>76</v>
      </c>
      <c r="E1130" s="26" t="s">
        <v>363</v>
      </c>
      <c r="F1130" s="26"/>
      <c r="G1130" s="66">
        <f>G1131+G1140+G1134+G1137+G1143</f>
        <v>15584.3</v>
      </c>
      <c r="H1130" s="66">
        <f>H1131+H1140+H1134+H1137+H1143</f>
        <v>10133.6</v>
      </c>
      <c r="I1130" s="67">
        <f t="shared" si="201"/>
        <v>25717.9</v>
      </c>
      <c r="J1130" s="66">
        <f>J1131+J1140+J1134+J1137+J1143</f>
        <v>0</v>
      </c>
      <c r="K1130" s="67">
        <f t="shared" si="204"/>
        <v>25717.9</v>
      </c>
      <c r="L1130" s="66">
        <f>L1131+L1140+L1134+L1137+L1143</f>
        <v>41984.1</v>
      </c>
      <c r="M1130" s="67">
        <f t="shared" si="205"/>
        <v>67702</v>
      </c>
      <c r="N1130" s="66">
        <f>N1131+N1140+N1134+N1137+N1143</f>
        <v>-470.2</v>
      </c>
      <c r="O1130" s="67">
        <f t="shared" si="207"/>
        <v>67231.8</v>
      </c>
    </row>
    <row r="1131" spans="1:15" x14ac:dyDescent="0.2">
      <c r="A1131" s="64" t="str">
        <f ca="1">IF(ISERROR(MATCH(E1131,Код_КЦСР,0)),"",INDIRECT(ADDRESS(MATCH(E1131,Код_КЦСР,0)+1,2,,,"КЦСР")))</f>
        <v>Строительство объектов сметной стоимостью до 100 млн. рублей</v>
      </c>
      <c r="B1131" s="26">
        <v>811</v>
      </c>
      <c r="C1131" s="65" t="s">
        <v>73</v>
      </c>
      <c r="D1131" s="65" t="s">
        <v>76</v>
      </c>
      <c r="E1131" s="26" t="s">
        <v>364</v>
      </c>
      <c r="F1131" s="26"/>
      <c r="G1131" s="66">
        <f t="shared" ref="G1131:N1132" si="212">G1132</f>
        <v>14284.3</v>
      </c>
      <c r="H1131" s="66">
        <f t="shared" si="212"/>
        <v>10133.6</v>
      </c>
      <c r="I1131" s="67">
        <f t="shared" si="201"/>
        <v>24417.9</v>
      </c>
      <c r="J1131" s="66">
        <f t="shared" si="212"/>
        <v>0</v>
      </c>
      <c r="K1131" s="67">
        <f t="shared" si="204"/>
        <v>24417.9</v>
      </c>
      <c r="L1131" s="66">
        <f t="shared" si="212"/>
        <v>10854.9</v>
      </c>
      <c r="M1131" s="67">
        <f t="shared" si="205"/>
        <v>35272.800000000003</v>
      </c>
      <c r="N1131" s="66">
        <f t="shared" si="212"/>
        <v>-470.2</v>
      </c>
      <c r="O1131" s="67">
        <f t="shared" si="207"/>
        <v>34802.600000000006</v>
      </c>
    </row>
    <row r="1132" spans="1:15" ht="33" x14ac:dyDescent="0.2">
      <c r="A1132" s="64" t="str">
        <f ca="1">IF(ISERROR(MATCH(F1132,Код_КВР,0)),"",INDIRECT(ADDRESS(MATCH(F1132,Код_КВР,0)+1,2,,,"КВР")))</f>
        <v>Капитальные вложения в объекты государственной (муниципальной) собственности</v>
      </c>
      <c r="B1132" s="26">
        <v>811</v>
      </c>
      <c r="C1132" s="65" t="s">
        <v>73</v>
      </c>
      <c r="D1132" s="65" t="s">
        <v>76</v>
      </c>
      <c r="E1132" s="26" t="s">
        <v>364</v>
      </c>
      <c r="F1132" s="26">
        <v>400</v>
      </c>
      <c r="G1132" s="66">
        <f t="shared" si="212"/>
        <v>14284.3</v>
      </c>
      <c r="H1132" s="66">
        <f t="shared" si="212"/>
        <v>10133.6</v>
      </c>
      <c r="I1132" s="67">
        <f t="shared" si="201"/>
        <v>24417.9</v>
      </c>
      <c r="J1132" s="66">
        <f t="shared" si="212"/>
        <v>0</v>
      </c>
      <c r="K1132" s="67">
        <f t="shared" si="204"/>
        <v>24417.9</v>
      </c>
      <c r="L1132" s="66">
        <f t="shared" si="212"/>
        <v>10854.9</v>
      </c>
      <c r="M1132" s="67">
        <f t="shared" si="205"/>
        <v>35272.800000000003</v>
      </c>
      <c r="N1132" s="66">
        <f t="shared" si="212"/>
        <v>-470.2</v>
      </c>
      <c r="O1132" s="67">
        <f t="shared" si="207"/>
        <v>34802.600000000006</v>
      </c>
    </row>
    <row r="1133" spans="1:15" x14ac:dyDescent="0.2">
      <c r="A1133" s="64" t="str">
        <f ca="1">IF(ISERROR(MATCH(F1133,Код_КВР,0)),"",INDIRECT(ADDRESS(MATCH(F1133,Код_КВР,0)+1,2,,,"КВР")))</f>
        <v>Бюджетные инвестиции</v>
      </c>
      <c r="B1133" s="26">
        <v>811</v>
      </c>
      <c r="C1133" s="65" t="s">
        <v>73</v>
      </c>
      <c r="D1133" s="65" t="s">
        <v>76</v>
      </c>
      <c r="E1133" s="26" t="s">
        <v>364</v>
      </c>
      <c r="F1133" s="26">
        <v>410</v>
      </c>
      <c r="G1133" s="66">
        <f>1726.6+1865.8+6721.7+3500+470.2</f>
        <v>14284.3</v>
      </c>
      <c r="H1133" s="66">
        <f>10133.6</f>
        <v>10133.6</v>
      </c>
      <c r="I1133" s="67">
        <f t="shared" si="201"/>
        <v>24417.9</v>
      </c>
      <c r="J1133" s="66"/>
      <c r="K1133" s="67">
        <f t="shared" si="204"/>
        <v>24417.9</v>
      </c>
      <c r="L1133" s="66">
        <f>10657.1+197.8</f>
        <v>10854.9</v>
      </c>
      <c r="M1133" s="67">
        <f t="shared" si="205"/>
        <v>35272.800000000003</v>
      </c>
      <c r="N1133" s="66">
        <v>-470.2</v>
      </c>
      <c r="O1133" s="67">
        <f t="shared" si="207"/>
        <v>34802.600000000006</v>
      </c>
    </row>
    <row r="1134" spans="1:15" ht="43.5" customHeight="1" x14ac:dyDescent="0.2">
      <c r="A1134" s="64" t="str">
        <f ca="1">IF(ISERROR(MATCH(E1134,Код_КЦСР,0)),"",INDIRECT(ADDRESS(MATCH(E1134,Код_КЦСР,0)+1,2,,,"КЦСР")))</f>
        <v>Осуществление бюджетных инвестиций в объекты капитального строительства, в рамках софинансирования с областным Дорожным фондом</v>
      </c>
      <c r="B1134" s="26">
        <v>811</v>
      </c>
      <c r="C1134" s="65" t="s">
        <v>73</v>
      </c>
      <c r="D1134" s="65" t="s">
        <v>76</v>
      </c>
      <c r="E1134" s="26" t="s">
        <v>425</v>
      </c>
      <c r="F1134" s="26"/>
      <c r="G1134" s="66">
        <f>G1135</f>
        <v>150</v>
      </c>
      <c r="H1134" s="66">
        <f>H1135</f>
        <v>0</v>
      </c>
      <c r="I1134" s="67">
        <f t="shared" si="201"/>
        <v>150</v>
      </c>
      <c r="J1134" s="66">
        <f>J1135</f>
        <v>0</v>
      </c>
      <c r="K1134" s="67">
        <f t="shared" si="204"/>
        <v>150</v>
      </c>
      <c r="L1134" s="66">
        <f>L1135</f>
        <v>0</v>
      </c>
      <c r="M1134" s="67">
        <f t="shared" si="205"/>
        <v>150</v>
      </c>
      <c r="N1134" s="66">
        <f>N1135</f>
        <v>0</v>
      </c>
      <c r="O1134" s="67">
        <f t="shared" si="207"/>
        <v>150</v>
      </c>
    </row>
    <row r="1135" spans="1:15" ht="33" x14ac:dyDescent="0.2">
      <c r="A1135" s="64" t="str">
        <f ca="1">IF(ISERROR(MATCH(F1135,Код_КВР,0)),"",INDIRECT(ADDRESS(MATCH(F1135,Код_КВР,0)+1,2,,,"КВР")))</f>
        <v>Капитальные вложения в объекты государственной (муниципальной) собственности</v>
      </c>
      <c r="B1135" s="26">
        <v>811</v>
      </c>
      <c r="C1135" s="65" t="s">
        <v>73</v>
      </c>
      <c r="D1135" s="65" t="s">
        <v>76</v>
      </c>
      <c r="E1135" s="26" t="s">
        <v>425</v>
      </c>
      <c r="F1135" s="26">
        <v>400</v>
      </c>
      <c r="G1135" s="66">
        <f>G1136</f>
        <v>150</v>
      </c>
      <c r="H1135" s="66">
        <f>H1136</f>
        <v>0</v>
      </c>
      <c r="I1135" s="67">
        <f t="shared" si="201"/>
        <v>150</v>
      </c>
      <c r="J1135" s="66">
        <f>J1136</f>
        <v>0</v>
      </c>
      <c r="K1135" s="67">
        <f t="shared" si="204"/>
        <v>150</v>
      </c>
      <c r="L1135" s="66">
        <f>L1136</f>
        <v>0</v>
      </c>
      <c r="M1135" s="67">
        <f t="shared" si="205"/>
        <v>150</v>
      </c>
      <c r="N1135" s="66">
        <f>N1136</f>
        <v>0</v>
      </c>
      <c r="O1135" s="67">
        <f t="shared" si="207"/>
        <v>150</v>
      </c>
    </row>
    <row r="1136" spans="1:15" x14ac:dyDescent="0.2">
      <c r="A1136" s="64" t="str">
        <f ca="1">IF(ISERROR(MATCH(F1136,Код_КВР,0)),"",INDIRECT(ADDRESS(MATCH(F1136,Код_КВР,0)+1,2,,,"КВР")))</f>
        <v>Бюджетные инвестиции</v>
      </c>
      <c r="B1136" s="26">
        <v>811</v>
      </c>
      <c r="C1136" s="65" t="s">
        <v>73</v>
      </c>
      <c r="D1136" s="65" t="s">
        <v>76</v>
      </c>
      <c r="E1136" s="26" t="s">
        <v>425</v>
      </c>
      <c r="F1136" s="26">
        <v>410</v>
      </c>
      <c r="G1136" s="66">
        <f>150</f>
        <v>150</v>
      </c>
      <c r="H1136" s="66"/>
      <c r="I1136" s="67">
        <f t="shared" ref="I1136:I1217" si="213">G1136+H1136</f>
        <v>150</v>
      </c>
      <c r="J1136" s="66"/>
      <c r="K1136" s="67">
        <f t="shared" si="204"/>
        <v>150</v>
      </c>
      <c r="L1136" s="66"/>
      <c r="M1136" s="67">
        <f t="shared" si="205"/>
        <v>150</v>
      </c>
      <c r="N1136" s="66"/>
      <c r="O1136" s="67">
        <f t="shared" si="207"/>
        <v>150</v>
      </c>
    </row>
    <row r="1137" spans="1:15" ht="39.75" customHeight="1" x14ac:dyDescent="0.2">
      <c r="A1137" s="64" t="str">
        <f ca="1">IF(ISERROR(MATCH(E1137,Код_КЦСР,0)),"",INDIRECT(ADDRESS(MATCH(E1137,Код_КЦСР,0)+1,2,,,"КЦСР")))</f>
        <v>Улица Маяковского (от пр. Победы до ул. Сталеваров), в рамках софинансирования с областным Дорожным фондом</v>
      </c>
      <c r="B1137" s="26">
        <v>811</v>
      </c>
      <c r="C1137" s="65" t="s">
        <v>73</v>
      </c>
      <c r="D1137" s="65" t="s">
        <v>76</v>
      </c>
      <c r="E1137" s="26" t="s">
        <v>611</v>
      </c>
      <c r="F1137" s="26"/>
      <c r="G1137" s="66">
        <f>G1138</f>
        <v>150</v>
      </c>
      <c r="H1137" s="66">
        <f>H1138</f>
        <v>0</v>
      </c>
      <c r="I1137" s="67">
        <f t="shared" si="213"/>
        <v>150</v>
      </c>
      <c r="J1137" s="66">
        <f>J1138</f>
        <v>0</v>
      </c>
      <c r="K1137" s="67">
        <f t="shared" si="204"/>
        <v>150</v>
      </c>
      <c r="L1137" s="66">
        <f>L1138</f>
        <v>0</v>
      </c>
      <c r="M1137" s="67">
        <f t="shared" si="205"/>
        <v>150</v>
      </c>
      <c r="N1137" s="66">
        <f>N1138</f>
        <v>0</v>
      </c>
      <c r="O1137" s="67">
        <f t="shared" si="207"/>
        <v>150</v>
      </c>
    </row>
    <row r="1138" spans="1:15" ht="33" x14ac:dyDescent="0.2">
      <c r="A1138" s="64" t="str">
        <f ca="1">IF(ISERROR(MATCH(F1138,Код_КВР,0)),"",INDIRECT(ADDRESS(MATCH(F1138,Код_КВР,0)+1,2,,,"КВР")))</f>
        <v>Капитальные вложения в объекты государственной (муниципальной) собственности</v>
      </c>
      <c r="B1138" s="26">
        <v>811</v>
      </c>
      <c r="C1138" s="65" t="s">
        <v>73</v>
      </c>
      <c r="D1138" s="65" t="s">
        <v>76</v>
      </c>
      <c r="E1138" s="26" t="s">
        <v>611</v>
      </c>
      <c r="F1138" s="26">
        <v>400</v>
      </c>
      <c r="G1138" s="66">
        <f>G1139</f>
        <v>150</v>
      </c>
      <c r="H1138" s="66">
        <f>H1139</f>
        <v>0</v>
      </c>
      <c r="I1138" s="67">
        <f t="shared" si="213"/>
        <v>150</v>
      </c>
      <c r="J1138" s="66">
        <f>J1139</f>
        <v>0</v>
      </c>
      <c r="K1138" s="67">
        <f t="shared" si="204"/>
        <v>150</v>
      </c>
      <c r="L1138" s="66">
        <f>L1139</f>
        <v>0</v>
      </c>
      <c r="M1138" s="67">
        <f t="shared" si="205"/>
        <v>150</v>
      </c>
      <c r="N1138" s="66">
        <f>N1139</f>
        <v>0</v>
      </c>
      <c r="O1138" s="67">
        <f t="shared" si="207"/>
        <v>150</v>
      </c>
    </row>
    <row r="1139" spans="1:15" x14ac:dyDescent="0.2">
      <c r="A1139" s="64" t="str">
        <f ca="1">IF(ISERROR(MATCH(F1139,Код_КВР,0)),"",INDIRECT(ADDRESS(MATCH(F1139,Код_КВР,0)+1,2,,,"КВР")))</f>
        <v>Бюджетные инвестиции</v>
      </c>
      <c r="B1139" s="26">
        <v>811</v>
      </c>
      <c r="C1139" s="65" t="s">
        <v>73</v>
      </c>
      <c r="D1139" s="65" t="s">
        <v>76</v>
      </c>
      <c r="E1139" s="26" t="s">
        <v>611</v>
      </c>
      <c r="F1139" s="26">
        <v>410</v>
      </c>
      <c r="G1139" s="66">
        <f>150</f>
        <v>150</v>
      </c>
      <c r="H1139" s="66"/>
      <c r="I1139" s="67">
        <f t="shared" si="213"/>
        <v>150</v>
      </c>
      <c r="J1139" s="66"/>
      <c r="K1139" s="67">
        <f t="shared" si="204"/>
        <v>150</v>
      </c>
      <c r="L1139" s="66"/>
      <c r="M1139" s="67">
        <f t="shared" si="205"/>
        <v>150</v>
      </c>
      <c r="N1139" s="66"/>
      <c r="O1139" s="67">
        <f t="shared" si="207"/>
        <v>150</v>
      </c>
    </row>
    <row r="1140" spans="1:15" ht="49.5" x14ac:dyDescent="0.2">
      <c r="A1140" s="64" t="str">
        <f ca="1">IF(ISERROR(MATCH(E1140,Код_КЦСР,0)),"",INDIRECT(ADDRESS(MATCH(E1140,Код_КЦСР,0)+1,2,,,"КЦСР")))</f>
        <v>Осуществление дорожной деятельности в отношении автомобильных дорог общего пользования местного значения, за счет средств областного бюджета</v>
      </c>
      <c r="B1140" s="26">
        <v>811</v>
      </c>
      <c r="C1140" s="65" t="s">
        <v>73</v>
      </c>
      <c r="D1140" s="65" t="s">
        <v>76</v>
      </c>
      <c r="E1140" s="26" t="s">
        <v>365</v>
      </c>
      <c r="F1140" s="26"/>
      <c r="G1140" s="66">
        <f>G1141</f>
        <v>0</v>
      </c>
      <c r="H1140" s="66">
        <f>H1141</f>
        <v>0</v>
      </c>
      <c r="I1140" s="67">
        <f t="shared" si="213"/>
        <v>0</v>
      </c>
      <c r="J1140" s="66">
        <f>J1141</f>
        <v>0</v>
      </c>
      <c r="K1140" s="67">
        <f t="shared" si="204"/>
        <v>0</v>
      </c>
      <c r="L1140" s="66">
        <f>L1141</f>
        <v>31129.200000000001</v>
      </c>
      <c r="M1140" s="67">
        <f t="shared" si="205"/>
        <v>31129.200000000001</v>
      </c>
      <c r="N1140" s="66">
        <f>N1141</f>
        <v>0</v>
      </c>
      <c r="O1140" s="67">
        <f t="shared" si="207"/>
        <v>31129.200000000001</v>
      </c>
    </row>
    <row r="1141" spans="1:15" ht="33" x14ac:dyDescent="0.2">
      <c r="A1141" s="52" t="str">
        <f ca="1">IF(ISERROR(MATCH(F1141,Код_КВР,0)),"",INDIRECT(ADDRESS(MATCH(F1141,Код_КВР,0)+1,2,,,"КВР")))</f>
        <v>Капитальные вложения в объекты государственной (муниципальной) собственности</v>
      </c>
      <c r="B1141" s="25">
        <v>811</v>
      </c>
      <c r="C1141" s="87" t="s">
        <v>73</v>
      </c>
      <c r="D1141" s="87" t="s">
        <v>76</v>
      </c>
      <c r="E1141" s="25" t="s">
        <v>365</v>
      </c>
      <c r="F1141" s="25">
        <v>400</v>
      </c>
      <c r="G1141" s="88">
        <f t="shared" ref="G1141:N1141" si="214">G1142</f>
        <v>0</v>
      </c>
      <c r="H1141" s="88">
        <f t="shared" si="214"/>
        <v>0</v>
      </c>
      <c r="I1141" s="67">
        <f t="shared" si="213"/>
        <v>0</v>
      </c>
      <c r="J1141" s="88">
        <f t="shared" si="214"/>
        <v>0</v>
      </c>
      <c r="K1141" s="67">
        <f t="shared" si="204"/>
        <v>0</v>
      </c>
      <c r="L1141" s="88">
        <f t="shared" si="214"/>
        <v>31129.200000000001</v>
      </c>
      <c r="M1141" s="67">
        <f t="shared" si="205"/>
        <v>31129.200000000001</v>
      </c>
      <c r="N1141" s="88">
        <f t="shared" si="214"/>
        <v>0</v>
      </c>
      <c r="O1141" s="67">
        <f t="shared" si="207"/>
        <v>31129.200000000001</v>
      </c>
    </row>
    <row r="1142" spans="1:15" x14ac:dyDescent="0.2">
      <c r="A1142" s="52" t="str">
        <f ca="1">IF(ISERROR(MATCH(F1142,Код_КВР,0)),"",INDIRECT(ADDRESS(MATCH(F1142,Код_КВР,0)+1,2,,,"КВР")))</f>
        <v>Бюджетные инвестиции</v>
      </c>
      <c r="B1142" s="25">
        <v>811</v>
      </c>
      <c r="C1142" s="87" t="s">
        <v>73</v>
      </c>
      <c r="D1142" s="87" t="s">
        <v>76</v>
      </c>
      <c r="E1142" s="25" t="s">
        <v>365</v>
      </c>
      <c r="F1142" s="25">
        <v>410</v>
      </c>
      <c r="G1142" s="88"/>
      <c r="H1142" s="88"/>
      <c r="I1142" s="67">
        <f t="shared" si="213"/>
        <v>0</v>
      </c>
      <c r="J1142" s="88"/>
      <c r="K1142" s="67">
        <f t="shared" si="204"/>
        <v>0</v>
      </c>
      <c r="L1142" s="88">
        <v>31129.200000000001</v>
      </c>
      <c r="M1142" s="67">
        <f t="shared" si="205"/>
        <v>31129.200000000001</v>
      </c>
      <c r="N1142" s="88"/>
      <c r="O1142" s="67">
        <f t="shared" si="207"/>
        <v>31129.200000000001</v>
      </c>
    </row>
    <row r="1143" spans="1:15" ht="22.5" customHeight="1" x14ac:dyDescent="0.2">
      <c r="A1143" s="52" t="str">
        <f ca="1">IF(ISERROR(MATCH(E1143,Код_КЦСР,0)),"",INDIRECT(ADDRESS(MATCH(E1143,Код_КЦСР,0)+1,2,,,"КЦСР")))</f>
        <v>Строительство объектов сметной стоимостью 100 млн. рублей и более</v>
      </c>
      <c r="B1143" s="25">
        <v>811</v>
      </c>
      <c r="C1143" s="87" t="s">
        <v>73</v>
      </c>
      <c r="D1143" s="87" t="s">
        <v>76</v>
      </c>
      <c r="E1143" s="25" t="s">
        <v>607</v>
      </c>
      <c r="F1143" s="25"/>
      <c r="G1143" s="88">
        <f t="shared" ref="G1143:N1145" si="215">G1144</f>
        <v>1000</v>
      </c>
      <c r="H1143" s="88">
        <f t="shared" si="215"/>
        <v>0</v>
      </c>
      <c r="I1143" s="67">
        <f t="shared" si="213"/>
        <v>1000</v>
      </c>
      <c r="J1143" s="88">
        <f t="shared" si="215"/>
        <v>0</v>
      </c>
      <c r="K1143" s="67">
        <f t="shared" si="204"/>
        <v>1000</v>
      </c>
      <c r="L1143" s="88">
        <f t="shared" si="215"/>
        <v>0</v>
      </c>
      <c r="M1143" s="67">
        <f t="shared" si="205"/>
        <v>1000</v>
      </c>
      <c r="N1143" s="88">
        <f t="shared" si="215"/>
        <v>0</v>
      </c>
      <c r="O1143" s="67">
        <f t="shared" si="207"/>
        <v>1000</v>
      </c>
    </row>
    <row r="1144" spans="1:15" ht="21" customHeight="1" x14ac:dyDescent="0.2">
      <c r="A1144" s="52" t="str">
        <f ca="1">IF(ISERROR(MATCH(E1144,Код_КЦСР,0)),"",INDIRECT(ADDRESS(MATCH(E1144,Код_КЦСР,0)+1,2,,,"КЦСР")))</f>
        <v>Улица Маяковского (от пр. Победы до ул. Сталеваров)</v>
      </c>
      <c r="B1144" s="25">
        <v>811</v>
      </c>
      <c r="C1144" s="87" t="s">
        <v>73</v>
      </c>
      <c r="D1144" s="87" t="s">
        <v>76</v>
      </c>
      <c r="E1144" s="25" t="s">
        <v>612</v>
      </c>
      <c r="F1144" s="25"/>
      <c r="G1144" s="88">
        <f t="shared" si="215"/>
        <v>1000</v>
      </c>
      <c r="H1144" s="88">
        <f t="shared" si="215"/>
        <v>0</v>
      </c>
      <c r="I1144" s="67">
        <f t="shared" si="213"/>
        <v>1000</v>
      </c>
      <c r="J1144" s="88">
        <f t="shared" si="215"/>
        <v>0</v>
      </c>
      <c r="K1144" s="67">
        <f t="shared" si="204"/>
        <v>1000</v>
      </c>
      <c r="L1144" s="88">
        <f t="shared" si="215"/>
        <v>0</v>
      </c>
      <c r="M1144" s="67">
        <f t="shared" si="205"/>
        <v>1000</v>
      </c>
      <c r="N1144" s="88">
        <f t="shared" si="215"/>
        <v>0</v>
      </c>
      <c r="O1144" s="67">
        <f t="shared" si="207"/>
        <v>1000</v>
      </c>
    </row>
    <row r="1145" spans="1:15" ht="33" x14ac:dyDescent="0.2">
      <c r="A1145" s="52" t="str">
        <f ca="1">IF(ISERROR(MATCH(F1145,Код_КВР,0)),"",INDIRECT(ADDRESS(MATCH(F1145,Код_КВР,0)+1,2,,,"КВР")))</f>
        <v>Капитальные вложения в объекты государственной (муниципальной) собственности</v>
      </c>
      <c r="B1145" s="25">
        <v>811</v>
      </c>
      <c r="C1145" s="87" t="s">
        <v>73</v>
      </c>
      <c r="D1145" s="87" t="s">
        <v>76</v>
      </c>
      <c r="E1145" s="25" t="s">
        <v>612</v>
      </c>
      <c r="F1145" s="25">
        <v>400</v>
      </c>
      <c r="G1145" s="88">
        <f t="shared" si="215"/>
        <v>1000</v>
      </c>
      <c r="H1145" s="88">
        <f t="shared" si="215"/>
        <v>0</v>
      </c>
      <c r="I1145" s="67">
        <f t="shared" si="213"/>
        <v>1000</v>
      </c>
      <c r="J1145" s="88">
        <f>J1146</f>
        <v>0</v>
      </c>
      <c r="K1145" s="67">
        <f t="shared" si="204"/>
        <v>1000</v>
      </c>
      <c r="L1145" s="88">
        <f>L1146</f>
        <v>0</v>
      </c>
      <c r="M1145" s="67">
        <f t="shared" si="205"/>
        <v>1000</v>
      </c>
      <c r="N1145" s="88">
        <f>N1146</f>
        <v>0</v>
      </c>
      <c r="O1145" s="67">
        <f t="shared" si="207"/>
        <v>1000</v>
      </c>
    </row>
    <row r="1146" spans="1:15" x14ac:dyDescent="0.2">
      <c r="A1146" s="52" t="str">
        <f ca="1">IF(ISERROR(MATCH(F1146,Код_КВР,0)),"",INDIRECT(ADDRESS(MATCH(F1146,Код_КВР,0)+1,2,,,"КВР")))</f>
        <v>Бюджетные инвестиции</v>
      </c>
      <c r="B1146" s="25">
        <v>811</v>
      </c>
      <c r="C1146" s="87" t="s">
        <v>73</v>
      </c>
      <c r="D1146" s="87" t="s">
        <v>76</v>
      </c>
      <c r="E1146" s="25" t="s">
        <v>612</v>
      </c>
      <c r="F1146" s="25">
        <v>410</v>
      </c>
      <c r="G1146" s="88">
        <v>1000</v>
      </c>
      <c r="H1146" s="88"/>
      <c r="I1146" s="67">
        <f t="shared" si="213"/>
        <v>1000</v>
      </c>
      <c r="J1146" s="88"/>
      <c r="K1146" s="67">
        <f t="shared" si="204"/>
        <v>1000</v>
      </c>
      <c r="L1146" s="88"/>
      <c r="M1146" s="67">
        <f t="shared" si="205"/>
        <v>1000</v>
      </c>
      <c r="N1146" s="88"/>
      <c r="O1146" s="67">
        <f t="shared" si="207"/>
        <v>1000</v>
      </c>
    </row>
    <row r="1147" spans="1:15" x14ac:dyDescent="0.2">
      <c r="A1147" s="52" t="str">
        <f ca="1">IF(ISERROR(MATCH(E1147,Код_КЦСР,0)),"",INDIRECT(ADDRESS(MATCH(E1147,Код_КЦСР,0)+1,2,,,"КЦСР")))</f>
        <v>Капитальный ремонт объектов муниципальной собственности</v>
      </c>
      <c r="B1147" s="25">
        <v>811</v>
      </c>
      <c r="C1147" s="87" t="s">
        <v>73</v>
      </c>
      <c r="D1147" s="87" t="s">
        <v>76</v>
      </c>
      <c r="E1147" s="25" t="s">
        <v>366</v>
      </c>
      <c r="F1147" s="25"/>
      <c r="G1147" s="88">
        <f>G1151+G1154</f>
        <v>7278.3</v>
      </c>
      <c r="H1147" s="88">
        <f>H1151+H1154+H1148</f>
        <v>8420</v>
      </c>
      <c r="I1147" s="67">
        <f t="shared" si="213"/>
        <v>15698.3</v>
      </c>
      <c r="J1147" s="88">
        <f>J1151+J1154+J1148</f>
        <v>-393.3</v>
      </c>
      <c r="K1147" s="67">
        <f t="shared" si="204"/>
        <v>15305</v>
      </c>
      <c r="L1147" s="88">
        <f>L1151+L1154+L1148</f>
        <v>-1314</v>
      </c>
      <c r="M1147" s="67">
        <f t="shared" si="205"/>
        <v>13991</v>
      </c>
      <c r="N1147" s="88">
        <f>N1151+N1154+N1148</f>
        <v>0</v>
      </c>
      <c r="O1147" s="67">
        <f t="shared" si="207"/>
        <v>13991</v>
      </c>
    </row>
    <row r="1148" spans="1:15" ht="33" x14ac:dyDescent="0.2">
      <c r="A1148" s="64" t="str">
        <f ca="1">IF(ISERROR(MATCH(E1148,Код_КЦСР,0)),"",INDIRECT(ADDRESS(MATCH(E1148,Код_КЦСР,0)+1,2,,,"КЦСР")))</f>
        <v>Капитальный ремонт объектов муниципальной собственности, за счет средств городского бюджета</v>
      </c>
      <c r="B1148" s="26">
        <v>811</v>
      </c>
      <c r="C1148" s="65" t="s">
        <v>73</v>
      </c>
      <c r="D1148" s="65" t="s">
        <v>76</v>
      </c>
      <c r="E1148" s="26" t="s">
        <v>559</v>
      </c>
      <c r="F1148" s="26"/>
      <c r="G1148" s="88"/>
      <c r="H1148" s="88">
        <f>H1149</f>
        <v>8420</v>
      </c>
      <c r="I1148" s="67">
        <f t="shared" si="213"/>
        <v>8420</v>
      </c>
      <c r="J1148" s="88">
        <f>J1149</f>
        <v>-393.3</v>
      </c>
      <c r="K1148" s="67">
        <f t="shared" si="204"/>
        <v>8026.7</v>
      </c>
      <c r="L1148" s="88">
        <f>L1149</f>
        <v>-1314</v>
      </c>
      <c r="M1148" s="67">
        <f t="shared" si="205"/>
        <v>6712.7</v>
      </c>
      <c r="N1148" s="88">
        <f>N1149</f>
        <v>0</v>
      </c>
      <c r="O1148" s="67">
        <f t="shared" si="207"/>
        <v>6712.7</v>
      </c>
    </row>
    <row r="1149" spans="1:15" ht="33" x14ac:dyDescent="0.2">
      <c r="A1149" s="64" t="str">
        <f ca="1">IF(ISERROR(MATCH(F1149,Код_КВР,0)),"",INDIRECT(ADDRESS(MATCH(F1149,Код_КВР,0)+1,2,,,"КВР")))</f>
        <v>Закупка товаров, работ и услуг для обеспечения государственных (муниципальных) нужд</v>
      </c>
      <c r="B1149" s="26">
        <v>811</v>
      </c>
      <c r="C1149" s="65" t="s">
        <v>73</v>
      </c>
      <c r="D1149" s="65" t="s">
        <v>76</v>
      </c>
      <c r="E1149" s="26" t="s">
        <v>559</v>
      </c>
      <c r="F1149" s="26">
        <v>200</v>
      </c>
      <c r="G1149" s="88"/>
      <c r="H1149" s="88">
        <f>H1150</f>
        <v>8420</v>
      </c>
      <c r="I1149" s="67">
        <f t="shared" si="213"/>
        <v>8420</v>
      </c>
      <c r="J1149" s="88">
        <f>J1150</f>
        <v>-393.3</v>
      </c>
      <c r="K1149" s="67">
        <f t="shared" si="204"/>
        <v>8026.7</v>
      </c>
      <c r="L1149" s="88">
        <f>L1150</f>
        <v>-1314</v>
      </c>
      <c r="M1149" s="67">
        <f t="shared" si="205"/>
        <v>6712.7</v>
      </c>
      <c r="N1149" s="88">
        <f>N1150</f>
        <v>0</v>
      </c>
      <c r="O1149" s="67">
        <f t="shared" si="207"/>
        <v>6712.7</v>
      </c>
    </row>
    <row r="1150" spans="1:15" ht="33" x14ac:dyDescent="0.2">
      <c r="A1150" s="64" t="str">
        <f ca="1">IF(ISERROR(MATCH(F1150,Код_КВР,0)),"",INDIRECT(ADDRESS(MATCH(F1150,Код_КВР,0)+1,2,,,"КВР")))</f>
        <v>Иные закупки товаров, работ и услуг для обеспечения государственных (муниципальных) нужд</v>
      </c>
      <c r="B1150" s="26">
        <v>811</v>
      </c>
      <c r="C1150" s="65" t="s">
        <v>73</v>
      </c>
      <c r="D1150" s="65" t="s">
        <v>76</v>
      </c>
      <c r="E1150" s="26" t="s">
        <v>559</v>
      </c>
      <c r="F1150" s="26">
        <v>240</v>
      </c>
      <c r="G1150" s="88"/>
      <c r="H1150" s="88">
        <v>8420</v>
      </c>
      <c r="I1150" s="67">
        <f t="shared" si="213"/>
        <v>8420</v>
      </c>
      <c r="J1150" s="88">
        <v>-393.3</v>
      </c>
      <c r="K1150" s="67">
        <f t="shared" si="204"/>
        <v>8026.7</v>
      </c>
      <c r="L1150" s="88">
        <v>-1314</v>
      </c>
      <c r="M1150" s="67">
        <f t="shared" si="205"/>
        <v>6712.7</v>
      </c>
      <c r="N1150" s="88"/>
      <c r="O1150" s="67">
        <f t="shared" si="207"/>
        <v>6712.7</v>
      </c>
    </row>
    <row r="1151" spans="1:15" ht="39.75" customHeight="1" x14ac:dyDescent="0.2">
      <c r="A1151" s="64" t="str">
        <f ca="1">IF(ISERROR(MATCH(E1151,Код_КЦСР,0)),"",INDIRECT(ADDRESS(MATCH(E1151,Код_КЦСР,0)+1,2,,,"КЦСР")))</f>
        <v>Осуществление капитального ремонта улично-дорожной сети города, в рамках софинансирования с областным Дорожным фондом</v>
      </c>
      <c r="B1151" s="26">
        <v>811</v>
      </c>
      <c r="C1151" s="65" t="s">
        <v>73</v>
      </c>
      <c r="D1151" s="65" t="s">
        <v>76</v>
      </c>
      <c r="E1151" s="26" t="s">
        <v>502</v>
      </c>
      <c r="F1151" s="26"/>
      <c r="G1151" s="66">
        <f>G1152</f>
        <v>7278.3</v>
      </c>
      <c r="H1151" s="66">
        <f>H1152</f>
        <v>0</v>
      </c>
      <c r="I1151" s="67">
        <f t="shared" si="213"/>
        <v>7278.3</v>
      </c>
      <c r="J1151" s="66">
        <f>J1152</f>
        <v>0</v>
      </c>
      <c r="K1151" s="67">
        <f t="shared" si="204"/>
        <v>7278.3</v>
      </c>
      <c r="L1151" s="66">
        <f>L1152</f>
        <v>0</v>
      </c>
      <c r="M1151" s="67">
        <f t="shared" si="205"/>
        <v>7278.3</v>
      </c>
      <c r="N1151" s="66">
        <f>N1152</f>
        <v>0</v>
      </c>
      <c r="O1151" s="67">
        <f t="shared" si="207"/>
        <v>7278.3</v>
      </c>
    </row>
    <row r="1152" spans="1:15" ht="39" customHeight="1" x14ac:dyDescent="0.2">
      <c r="A1152" s="64" t="str">
        <f ca="1">IF(ISERROR(MATCH(F1152,Код_КВР,0)),"",INDIRECT(ADDRESS(MATCH(F1152,Код_КВР,0)+1,2,,,"КВР")))</f>
        <v>Закупка товаров, работ и услуг для обеспечения государственных (муниципальных) нужд</v>
      </c>
      <c r="B1152" s="26">
        <v>811</v>
      </c>
      <c r="C1152" s="65" t="s">
        <v>73</v>
      </c>
      <c r="D1152" s="65" t="s">
        <v>76</v>
      </c>
      <c r="E1152" s="26" t="s">
        <v>502</v>
      </c>
      <c r="F1152" s="26">
        <v>200</v>
      </c>
      <c r="G1152" s="66">
        <f>G1153</f>
        <v>7278.3</v>
      </c>
      <c r="H1152" s="66">
        <f>H1153</f>
        <v>0</v>
      </c>
      <c r="I1152" s="67">
        <f t="shared" si="213"/>
        <v>7278.3</v>
      </c>
      <c r="J1152" s="66">
        <f>J1153</f>
        <v>0</v>
      </c>
      <c r="K1152" s="67">
        <f t="shared" si="204"/>
        <v>7278.3</v>
      </c>
      <c r="L1152" s="66">
        <f>L1153</f>
        <v>0</v>
      </c>
      <c r="M1152" s="67">
        <f t="shared" si="205"/>
        <v>7278.3</v>
      </c>
      <c r="N1152" s="66">
        <f>N1153</f>
        <v>0</v>
      </c>
      <c r="O1152" s="67">
        <f t="shared" si="207"/>
        <v>7278.3</v>
      </c>
    </row>
    <row r="1153" spans="1:15" ht="36.75" customHeight="1" x14ac:dyDescent="0.2">
      <c r="A1153" s="64" t="str">
        <f ca="1">IF(ISERROR(MATCH(F1153,Код_КВР,0)),"",INDIRECT(ADDRESS(MATCH(F1153,Код_КВР,0)+1,2,,,"КВР")))</f>
        <v>Иные закупки товаров, работ и услуг для обеспечения государственных (муниципальных) нужд</v>
      </c>
      <c r="B1153" s="26">
        <v>811</v>
      </c>
      <c r="C1153" s="65" t="s">
        <v>73</v>
      </c>
      <c r="D1153" s="65" t="s">
        <v>76</v>
      </c>
      <c r="E1153" s="26" t="s">
        <v>502</v>
      </c>
      <c r="F1153" s="26">
        <v>240</v>
      </c>
      <c r="G1153" s="66">
        <v>7278.3</v>
      </c>
      <c r="H1153" s="66"/>
      <c r="I1153" s="67">
        <f t="shared" si="213"/>
        <v>7278.3</v>
      </c>
      <c r="J1153" s="66"/>
      <c r="K1153" s="67">
        <f t="shared" si="204"/>
        <v>7278.3</v>
      </c>
      <c r="L1153" s="66"/>
      <c r="M1153" s="67">
        <f t="shared" si="205"/>
        <v>7278.3</v>
      </c>
      <c r="N1153" s="66"/>
      <c r="O1153" s="67">
        <f t="shared" si="207"/>
        <v>7278.3</v>
      </c>
    </row>
    <row r="1154" spans="1:15" ht="49.5" hidden="1" customHeight="1" x14ac:dyDescent="0.2">
      <c r="A1154" s="64" t="str">
        <f ca="1">IF(ISERROR(MATCH(E1154,Код_КЦСР,0)),"",INDIRECT(ADDRESS(MATCH(E1154,Код_КЦСР,0)+1,2,,,"КЦСР")))</f>
        <v>Осуществление дорожной деятельности в отношении автомобильных дорог общего пользования местного значения, за счет средств областного бюджета</v>
      </c>
      <c r="B1154" s="26">
        <v>811</v>
      </c>
      <c r="C1154" s="65" t="s">
        <v>73</v>
      </c>
      <c r="D1154" s="65" t="s">
        <v>76</v>
      </c>
      <c r="E1154" s="26" t="s">
        <v>503</v>
      </c>
      <c r="F1154" s="26"/>
      <c r="G1154" s="66">
        <f>G1155</f>
        <v>0</v>
      </c>
      <c r="H1154" s="66">
        <f>H1155</f>
        <v>0</v>
      </c>
      <c r="I1154" s="67">
        <f t="shared" si="213"/>
        <v>0</v>
      </c>
      <c r="J1154" s="66">
        <f>J1155</f>
        <v>0</v>
      </c>
      <c r="K1154" s="67">
        <f t="shared" si="204"/>
        <v>0</v>
      </c>
      <c r="L1154" s="66">
        <f>L1155</f>
        <v>0</v>
      </c>
      <c r="M1154" s="67">
        <f t="shared" si="205"/>
        <v>0</v>
      </c>
      <c r="N1154" s="66">
        <f>N1155</f>
        <v>0</v>
      </c>
      <c r="O1154" s="67">
        <f t="shared" si="207"/>
        <v>0</v>
      </c>
    </row>
    <row r="1155" spans="1:15" ht="33" hidden="1" customHeight="1" x14ac:dyDescent="0.2">
      <c r="A1155" s="64" t="str">
        <f ca="1">IF(ISERROR(MATCH(F1155,Код_КВР,0)),"",INDIRECT(ADDRESS(MATCH(F1155,Код_КВР,0)+1,2,,,"КВР")))</f>
        <v>Закупка товаров, работ и услуг для обеспечения государственных (муниципальных) нужд</v>
      </c>
      <c r="B1155" s="26">
        <v>811</v>
      </c>
      <c r="C1155" s="65" t="s">
        <v>73</v>
      </c>
      <c r="D1155" s="65" t="s">
        <v>76</v>
      </c>
      <c r="E1155" s="26" t="s">
        <v>503</v>
      </c>
      <c r="F1155" s="26">
        <v>200</v>
      </c>
      <c r="G1155" s="66">
        <f>G1156</f>
        <v>0</v>
      </c>
      <c r="H1155" s="66">
        <f>H1156</f>
        <v>0</v>
      </c>
      <c r="I1155" s="67">
        <f t="shared" si="213"/>
        <v>0</v>
      </c>
      <c r="J1155" s="66">
        <f>J1156</f>
        <v>0</v>
      </c>
      <c r="K1155" s="67">
        <f t="shared" si="204"/>
        <v>0</v>
      </c>
      <c r="L1155" s="66">
        <f>L1156</f>
        <v>0</v>
      </c>
      <c r="M1155" s="67">
        <f t="shared" si="205"/>
        <v>0</v>
      </c>
      <c r="N1155" s="66">
        <f>N1156</f>
        <v>0</v>
      </c>
      <c r="O1155" s="67">
        <f t="shared" si="207"/>
        <v>0</v>
      </c>
    </row>
    <row r="1156" spans="1:15" ht="33" hidden="1" customHeight="1" x14ac:dyDescent="0.2">
      <c r="A1156" s="64" t="str">
        <f ca="1">IF(ISERROR(MATCH(F1156,Код_КВР,0)),"",INDIRECT(ADDRESS(MATCH(F1156,Код_КВР,0)+1,2,,,"КВР")))</f>
        <v>Иные закупки товаров, работ и услуг для обеспечения государственных (муниципальных) нужд</v>
      </c>
      <c r="B1156" s="26">
        <v>811</v>
      </c>
      <c r="C1156" s="65" t="s">
        <v>73</v>
      </c>
      <c r="D1156" s="65" t="s">
        <v>76</v>
      </c>
      <c r="E1156" s="26" t="s">
        <v>503</v>
      </c>
      <c r="F1156" s="26">
        <v>240</v>
      </c>
      <c r="G1156" s="66"/>
      <c r="H1156" s="66"/>
      <c r="I1156" s="67">
        <f t="shared" si="213"/>
        <v>0</v>
      </c>
      <c r="J1156" s="66"/>
      <c r="K1156" s="67">
        <f t="shared" si="204"/>
        <v>0</v>
      </c>
      <c r="L1156" s="66"/>
      <c r="M1156" s="67">
        <f t="shared" si="205"/>
        <v>0</v>
      </c>
      <c r="N1156" s="66"/>
      <c r="O1156" s="67">
        <f t="shared" si="207"/>
        <v>0</v>
      </c>
    </row>
    <row r="1157" spans="1:15" x14ac:dyDescent="0.2">
      <c r="A1157" s="74" t="s">
        <v>80</v>
      </c>
      <c r="B1157" s="26">
        <v>811</v>
      </c>
      <c r="C1157" s="65" t="s">
        <v>73</v>
      </c>
      <c r="D1157" s="65" t="s">
        <v>61</v>
      </c>
      <c r="E1157" s="26"/>
      <c r="F1157" s="26"/>
      <c r="G1157" s="66">
        <f>G1158+G1168</f>
        <v>245011.6</v>
      </c>
      <c r="H1157" s="66">
        <f>H1158+H1168</f>
        <v>0</v>
      </c>
      <c r="I1157" s="67">
        <f t="shared" si="213"/>
        <v>245011.6</v>
      </c>
      <c r="J1157" s="66">
        <f>J1158+J1168</f>
        <v>-334.8</v>
      </c>
      <c r="K1157" s="67">
        <f t="shared" si="204"/>
        <v>244676.80000000002</v>
      </c>
      <c r="L1157" s="66">
        <f>L1158+L1168</f>
        <v>1612.1</v>
      </c>
      <c r="M1157" s="67">
        <f t="shared" si="205"/>
        <v>246288.90000000002</v>
      </c>
      <c r="N1157" s="66">
        <f>N1158+N1168</f>
        <v>-1045.0999999999999</v>
      </c>
      <c r="O1157" s="67">
        <f t="shared" si="207"/>
        <v>245243.80000000002</v>
      </c>
    </row>
    <row r="1158" spans="1:15" ht="33" x14ac:dyDescent="0.2">
      <c r="A1158" s="64" t="str">
        <f ca="1">IF(ISERROR(MATCH(E1158,Код_КЦСР,0)),"",INDIRECT(ADDRESS(MATCH(E1158,Код_КЦСР,0)+1,2,,,"КЦСР")))</f>
        <v>Муниципальная программа «Развитие земельно-имущественного комплекса города Череповца» на 2014 – 2022 годы</v>
      </c>
      <c r="B1158" s="26">
        <v>811</v>
      </c>
      <c r="C1158" s="65" t="s">
        <v>73</v>
      </c>
      <c r="D1158" s="65" t="s">
        <v>61</v>
      </c>
      <c r="E1158" s="26" t="s">
        <v>356</v>
      </c>
      <c r="F1158" s="26"/>
      <c r="G1158" s="66">
        <f>G1159+G1162</f>
        <v>28009.5</v>
      </c>
      <c r="H1158" s="66">
        <f>H1159+H1162</f>
        <v>0</v>
      </c>
      <c r="I1158" s="67">
        <f t="shared" si="213"/>
        <v>28009.5</v>
      </c>
      <c r="J1158" s="66">
        <f>J1159+J1162</f>
        <v>-334.8</v>
      </c>
      <c r="K1158" s="67">
        <f t="shared" si="204"/>
        <v>27674.7</v>
      </c>
      <c r="L1158" s="66">
        <f>L1159+L1162</f>
        <v>-67.5</v>
      </c>
      <c r="M1158" s="67">
        <f t="shared" si="205"/>
        <v>27607.200000000001</v>
      </c>
      <c r="N1158" s="66">
        <f>N1159+N1162</f>
        <v>-1041.5</v>
      </c>
      <c r="O1158" s="67">
        <f t="shared" si="207"/>
        <v>26565.7</v>
      </c>
    </row>
    <row r="1159" spans="1:15" ht="33" x14ac:dyDescent="0.2">
      <c r="A1159" s="64" t="str">
        <f ca="1">IF(ISERROR(MATCH(E1159,Код_КЦСР,0)),"",INDIRECT(ADDRESS(MATCH(E1159,Код_КЦСР,0)+1,2,,,"КЦСР")))</f>
        <v>Обеспечение исполнения полномочий органа местного самоуправления в области наружной рекламы</v>
      </c>
      <c r="B1159" s="26">
        <v>811</v>
      </c>
      <c r="C1159" s="65" t="s">
        <v>73</v>
      </c>
      <c r="D1159" s="65" t="s">
        <v>61</v>
      </c>
      <c r="E1159" s="26" t="s">
        <v>359</v>
      </c>
      <c r="F1159" s="26"/>
      <c r="G1159" s="66">
        <f t="shared" ref="G1159:N1160" si="216">G1160</f>
        <v>656</v>
      </c>
      <c r="H1159" s="66">
        <f t="shared" si="216"/>
        <v>0</v>
      </c>
      <c r="I1159" s="67">
        <f t="shared" si="213"/>
        <v>656</v>
      </c>
      <c r="J1159" s="66">
        <f t="shared" si="216"/>
        <v>-334.8</v>
      </c>
      <c r="K1159" s="67">
        <f t="shared" si="204"/>
        <v>321.2</v>
      </c>
      <c r="L1159" s="66">
        <f t="shared" si="216"/>
        <v>-67.5</v>
      </c>
      <c r="M1159" s="67">
        <f t="shared" si="205"/>
        <v>253.7</v>
      </c>
      <c r="N1159" s="66">
        <f t="shared" si="216"/>
        <v>-161.30000000000001</v>
      </c>
      <c r="O1159" s="67">
        <f t="shared" si="207"/>
        <v>92.399999999999977</v>
      </c>
    </row>
    <row r="1160" spans="1:15" ht="33" x14ac:dyDescent="0.2">
      <c r="A1160" s="64" t="str">
        <f ca="1">IF(ISERROR(MATCH(F1160,Код_КВР,0)),"",INDIRECT(ADDRESS(MATCH(F1160,Код_КВР,0)+1,2,,,"КВР")))</f>
        <v>Закупка товаров, работ и услуг для обеспечения государственных (муниципальных) нужд</v>
      </c>
      <c r="B1160" s="26">
        <v>811</v>
      </c>
      <c r="C1160" s="65" t="s">
        <v>73</v>
      </c>
      <c r="D1160" s="65" t="s">
        <v>61</v>
      </c>
      <c r="E1160" s="26" t="s">
        <v>359</v>
      </c>
      <c r="F1160" s="26">
        <v>200</v>
      </c>
      <c r="G1160" s="66">
        <f t="shared" si="216"/>
        <v>656</v>
      </c>
      <c r="H1160" s="66">
        <f t="shared" si="216"/>
        <v>0</v>
      </c>
      <c r="I1160" s="67">
        <f t="shared" si="213"/>
        <v>656</v>
      </c>
      <c r="J1160" s="66">
        <f t="shared" si="216"/>
        <v>-334.8</v>
      </c>
      <c r="K1160" s="67">
        <f t="shared" si="204"/>
        <v>321.2</v>
      </c>
      <c r="L1160" s="66">
        <f t="shared" si="216"/>
        <v>-67.5</v>
      </c>
      <c r="M1160" s="67">
        <f t="shared" si="205"/>
        <v>253.7</v>
      </c>
      <c r="N1160" s="66">
        <f t="shared" si="216"/>
        <v>-161.30000000000001</v>
      </c>
      <c r="O1160" s="67">
        <f t="shared" si="207"/>
        <v>92.399999999999977</v>
      </c>
    </row>
    <row r="1161" spans="1:15" ht="33" x14ac:dyDescent="0.2">
      <c r="A1161" s="64" t="str">
        <f ca="1">IF(ISERROR(MATCH(F1161,Код_КВР,0)),"",INDIRECT(ADDRESS(MATCH(F1161,Код_КВР,0)+1,2,,,"КВР")))</f>
        <v>Иные закупки товаров, работ и услуг для обеспечения государственных (муниципальных) нужд</v>
      </c>
      <c r="B1161" s="26">
        <v>811</v>
      </c>
      <c r="C1161" s="65" t="s">
        <v>73</v>
      </c>
      <c r="D1161" s="65" t="s">
        <v>61</v>
      </c>
      <c r="E1161" s="26" t="s">
        <v>359</v>
      </c>
      <c r="F1161" s="26">
        <v>240</v>
      </c>
      <c r="G1161" s="66">
        <v>656</v>
      </c>
      <c r="H1161" s="66"/>
      <c r="I1161" s="67">
        <f t="shared" si="213"/>
        <v>656</v>
      </c>
      <c r="J1161" s="66">
        <f>-134.4-39.9-160.5</f>
        <v>-334.8</v>
      </c>
      <c r="K1161" s="67">
        <f t="shared" si="204"/>
        <v>321.2</v>
      </c>
      <c r="L1161" s="66">
        <v>-67.5</v>
      </c>
      <c r="M1161" s="67">
        <f t="shared" si="205"/>
        <v>253.7</v>
      </c>
      <c r="N1161" s="66">
        <f>-149.3-12</f>
        <v>-161.30000000000001</v>
      </c>
      <c r="O1161" s="67">
        <f t="shared" si="207"/>
        <v>92.399999999999977</v>
      </c>
    </row>
    <row r="1162" spans="1:15" ht="33" x14ac:dyDescent="0.2">
      <c r="A1162" s="64" t="str">
        <f ca="1">IF(ISERROR(MATCH(E1162,Код_КЦСР,0)),"",INDIRECT(ADDRESS(MATCH(E1162,Код_КЦСР,0)+1,2,,,"КЦСР")))</f>
        <v>Организация работ по реализации целей, задач комитета, выполнению его функциональных обязанностей и реализации муниципальной программы</v>
      </c>
      <c r="B1162" s="26">
        <v>811</v>
      </c>
      <c r="C1162" s="65" t="s">
        <v>73</v>
      </c>
      <c r="D1162" s="65" t="s">
        <v>61</v>
      </c>
      <c r="E1162" s="26" t="s">
        <v>360</v>
      </c>
      <c r="F1162" s="26"/>
      <c r="G1162" s="66">
        <f>G1163</f>
        <v>27353.5</v>
      </c>
      <c r="H1162" s="66">
        <f>H1163</f>
        <v>0</v>
      </c>
      <c r="I1162" s="67">
        <f t="shared" si="213"/>
        <v>27353.5</v>
      </c>
      <c r="J1162" s="66">
        <f>J1163</f>
        <v>0</v>
      </c>
      <c r="K1162" s="67">
        <f t="shared" si="204"/>
        <v>27353.5</v>
      </c>
      <c r="L1162" s="66">
        <f>L1163</f>
        <v>0</v>
      </c>
      <c r="M1162" s="67">
        <f t="shared" si="205"/>
        <v>27353.5</v>
      </c>
      <c r="N1162" s="66">
        <f>N1163</f>
        <v>-880.2</v>
      </c>
      <c r="O1162" s="67">
        <f t="shared" si="207"/>
        <v>26473.3</v>
      </c>
    </row>
    <row r="1163" spans="1:15" x14ac:dyDescent="0.2">
      <c r="A1163" s="64" t="str">
        <f ca="1">IF(ISERROR(MATCH(E1163,Код_КЦСР,0)),"",INDIRECT(ADDRESS(MATCH(E1163,Код_КЦСР,0)+1,2,,,"КЦСР")))</f>
        <v>Расходы на обеспечение функций органов местного самоуправления</v>
      </c>
      <c r="B1163" s="26">
        <v>811</v>
      </c>
      <c r="C1163" s="65" t="s">
        <v>73</v>
      </c>
      <c r="D1163" s="65" t="s">
        <v>61</v>
      </c>
      <c r="E1163" s="26" t="s">
        <v>361</v>
      </c>
      <c r="F1163" s="26"/>
      <c r="G1163" s="66">
        <f>G1164+G1166</f>
        <v>27353.5</v>
      </c>
      <c r="H1163" s="66">
        <f>H1164+H1166</f>
        <v>0</v>
      </c>
      <c r="I1163" s="67">
        <f t="shared" si="213"/>
        <v>27353.5</v>
      </c>
      <c r="J1163" s="66">
        <f>J1164+J1166</f>
        <v>0</v>
      </c>
      <c r="K1163" s="67">
        <f t="shared" si="204"/>
        <v>27353.5</v>
      </c>
      <c r="L1163" s="66">
        <f>L1164+L1166</f>
        <v>0</v>
      </c>
      <c r="M1163" s="67">
        <f t="shared" si="205"/>
        <v>27353.5</v>
      </c>
      <c r="N1163" s="66">
        <f>N1164+N1166</f>
        <v>-880.2</v>
      </c>
      <c r="O1163" s="67">
        <f t="shared" si="207"/>
        <v>26473.3</v>
      </c>
    </row>
    <row r="1164" spans="1:15" ht="49.5" x14ac:dyDescent="0.2">
      <c r="A1164" s="64" t="str">
        <f ca="1">IF(ISERROR(MATCH(F1164,Код_КВР,0)),"",INDIRECT(ADDRESS(MATCH(F1164,Код_КВР,0)+1,2,,,"КВР")))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64" s="26">
        <v>811</v>
      </c>
      <c r="C1164" s="65" t="s">
        <v>73</v>
      </c>
      <c r="D1164" s="65" t="s">
        <v>61</v>
      </c>
      <c r="E1164" s="26" t="s">
        <v>361</v>
      </c>
      <c r="F1164" s="26">
        <v>100</v>
      </c>
      <c r="G1164" s="66">
        <f>G1165</f>
        <v>27338.5</v>
      </c>
      <c r="H1164" s="66">
        <f>H1165</f>
        <v>0</v>
      </c>
      <c r="I1164" s="67">
        <f t="shared" si="213"/>
        <v>27338.5</v>
      </c>
      <c r="J1164" s="66">
        <f>J1165</f>
        <v>0</v>
      </c>
      <c r="K1164" s="67">
        <f t="shared" ref="K1164:K1242" si="217">I1164+J1164</f>
        <v>27338.5</v>
      </c>
      <c r="L1164" s="66">
        <f>L1165</f>
        <v>0</v>
      </c>
      <c r="M1164" s="67">
        <f t="shared" ref="M1164:M1242" si="218">K1164+L1164</f>
        <v>27338.5</v>
      </c>
      <c r="N1164" s="66">
        <f>N1165</f>
        <v>-880.2</v>
      </c>
      <c r="O1164" s="67">
        <f t="shared" si="207"/>
        <v>26458.3</v>
      </c>
    </row>
    <row r="1165" spans="1:15" x14ac:dyDescent="0.2">
      <c r="A1165" s="64" t="str">
        <f ca="1">IF(ISERROR(MATCH(F1165,Код_КВР,0)),"",INDIRECT(ADDRESS(MATCH(F1165,Код_КВР,0)+1,2,,,"КВР")))</f>
        <v>Расходы на выплаты персоналу государственных (муниципальных) органов</v>
      </c>
      <c r="B1165" s="26">
        <v>811</v>
      </c>
      <c r="C1165" s="65" t="s">
        <v>73</v>
      </c>
      <c r="D1165" s="65" t="s">
        <v>61</v>
      </c>
      <c r="E1165" s="26" t="s">
        <v>361</v>
      </c>
      <c r="F1165" s="26">
        <v>120</v>
      </c>
      <c r="G1165" s="66">
        <f>20965.2+41.8+6331.5</f>
        <v>27338.5</v>
      </c>
      <c r="H1165" s="66"/>
      <c r="I1165" s="67">
        <f t="shared" si="213"/>
        <v>27338.5</v>
      </c>
      <c r="J1165" s="66"/>
      <c r="K1165" s="67">
        <f t="shared" si="217"/>
        <v>27338.5</v>
      </c>
      <c r="L1165" s="66"/>
      <c r="M1165" s="67">
        <f t="shared" si="218"/>
        <v>27338.5</v>
      </c>
      <c r="N1165" s="66">
        <f>-24-856.2</f>
        <v>-880.2</v>
      </c>
      <c r="O1165" s="67">
        <f t="shared" si="207"/>
        <v>26458.3</v>
      </c>
    </row>
    <row r="1166" spans="1:15" ht="33" x14ac:dyDescent="0.2">
      <c r="A1166" s="64" t="str">
        <f ca="1">IF(ISERROR(MATCH(F1166,Код_КВР,0)),"",INDIRECT(ADDRESS(MATCH(F1166,Код_КВР,0)+1,2,,,"КВР")))</f>
        <v>Закупка товаров, работ и услуг для обеспечения государственных (муниципальных) нужд</v>
      </c>
      <c r="B1166" s="26">
        <v>811</v>
      </c>
      <c r="C1166" s="65" t="s">
        <v>73</v>
      </c>
      <c r="D1166" s="65" t="s">
        <v>61</v>
      </c>
      <c r="E1166" s="26" t="s">
        <v>361</v>
      </c>
      <c r="F1166" s="26">
        <v>200</v>
      </c>
      <c r="G1166" s="66">
        <f>G1167</f>
        <v>15</v>
      </c>
      <c r="H1166" s="66">
        <f>H1167</f>
        <v>0</v>
      </c>
      <c r="I1166" s="67">
        <f t="shared" si="213"/>
        <v>15</v>
      </c>
      <c r="J1166" s="66">
        <f>J1167</f>
        <v>0</v>
      </c>
      <c r="K1166" s="67">
        <f t="shared" si="217"/>
        <v>15</v>
      </c>
      <c r="L1166" s="66">
        <f>L1167</f>
        <v>0</v>
      </c>
      <c r="M1166" s="67">
        <f t="shared" si="218"/>
        <v>15</v>
      </c>
      <c r="N1166" s="66">
        <f>N1167</f>
        <v>0</v>
      </c>
      <c r="O1166" s="67">
        <f t="shared" si="207"/>
        <v>15</v>
      </c>
    </row>
    <row r="1167" spans="1:15" ht="33" x14ac:dyDescent="0.2">
      <c r="A1167" s="64" t="str">
        <f ca="1">IF(ISERROR(MATCH(F1167,Код_КВР,0)),"",INDIRECT(ADDRESS(MATCH(F1167,Код_КВР,0)+1,2,,,"КВР")))</f>
        <v>Иные закупки товаров, работ и услуг для обеспечения государственных (муниципальных) нужд</v>
      </c>
      <c r="B1167" s="26">
        <v>811</v>
      </c>
      <c r="C1167" s="65" t="s">
        <v>73</v>
      </c>
      <c r="D1167" s="65" t="s">
        <v>61</v>
      </c>
      <c r="E1167" s="26" t="s">
        <v>361</v>
      </c>
      <c r="F1167" s="26">
        <v>240</v>
      </c>
      <c r="G1167" s="66">
        <v>15</v>
      </c>
      <c r="H1167" s="66"/>
      <c r="I1167" s="67">
        <f t="shared" si="213"/>
        <v>15</v>
      </c>
      <c r="J1167" s="66"/>
      <c r="K1167" s="67">
        <f t="shared" si="217"/>
        <v>15</v>
      </c>
      <c r="L1167" s="66"/>
      <c r="M1167" s="67">
        <f t="shared" si="218"/>
        <v>15</v>
      </c>
      <c r="N1167" s="66"/>
      <c r="O1167" s="67">
        <f t="shared" si="207"/>
        <v>15</v>
      </c>
    </row>
    <row r="1168" spans="1:15" ht="66" x14ac:dyDescent="0.2">
      <c r="A1168" s="64" t="str">
        <f ca="1">IF(ISERROR(MATCH(E1168,Код_КЦСР,0)),"",INDIRECT(ADDRESS(MATCH(E1168,Код_КЦСР,0)+1,2,,,"КЦСР")))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168" s="26">
        <v>811</v>
      </c>
      <c r="C1168" s="65" t="s">
        <v>73</v>
      </c>
      <c r="D1168" s="65" t="s">
        <v>61</v>
      </c>
      <c r="E1168" s="26" t="s">
        <v>362</v>
      </c>
      <c r="F1168" s="26"/>
      <c r="G1168" s="66">
        <f>G1169+G1184+G1180</f>
        <v>217002.1</v>
      </c>
      <c r="H1168" s="66">
        <f>H1169+H1184+H1180</f>
        <v>0</v>
      </c>
      <c r="I1168" s="67">
        <f t="shared" si="213"/>
        <v>217002.1</v>
      </c>
      <c r="J1168" s="66">
        <f>J1169+J1184+J1180</f>
        <v>0</v>
      </c>
      <c r="K1168" s="67">
        <f t="shared" si="217"/>
        <v>217002.1</v>
      </c>
      <c r="L1168" s="66">
        <f>L1169+L1184+L1180</f>
        <v>1679.6</v>
      </c>
      <c r="M1168" s="67">
        <f t="shared" si="218"/>
        <v>218681.7</v>
      </c>
      <c r="N1168" s="66">
        <f>N1169+N1184+N1180</f>
        <v>-3.6000000000000014</v>
      </c>
      <c r="O1168" s="67">
        <f t="shared" si="207"/>
        <v>218678.1</v>
      </c>
    </row>
    <row r="1169" spans="1:15" ht="33" x14ac:dyDescent="0.2">
      <c r="A1169" s="52" t="str">
        <f ca="1">IF(ISERROR(MATCH(E1169,Код_КЦСР,0)),"",INDIRECT(ADDRESS(MATCH(E1169,Код_КЦСР,0)+1,2,,,"КЦСР")))</f>
        <v>Осуществление бюджетных инвестиций в объекты муниципальной собственности</v>
      </c>
      <c r="B1169" s="25">
        <v>811</v>
      </c>
      <c r="C1169" s="87" t="s">
        <v>73</v>
      </c>
      <c r="D1169" s="87" t="s">
        <v>61</v>
      </c>
      <c r="E1169" s="25" t="s">
        <v>363</v>
      </c>
      <c r="F1169" s="25"/>
      <c r="G1169" s="88">
        <f>G1173+G1176</f>
        <v>148218.6</v>
      </c>
      <c r="H1169" s="88">
        <f>H1173+H1176</f>
        <v>0</v>
      </c>
      <c r="I1169" s="67">
        <f t="shared" si="213"/>
        <v>148218.6</v>
      </c>
      <c r="J1169" s="88">
        <f>J1173+J1176</f>
        <v>0</v>
      </c>
      <c r="K1169" s="67">
        <f t="shared" si="217"/>
        <v>148218.6</v>
      </c>
      <c r="L1169" s="88">
        <f>L1173+L1176+L1170</f>
        <v>1679.6</v>
      </c>
      <c r="M1169" s="67">
        <f t="shared" si="218"/>
        <v>149898.20000000001</v>
      </c>
      <c r="N1169" s="88">
        <f>N1173+N1176+N1170</f>
        <v>20</v>
      </c>
      <c r="O1169" s="67">
        <f t="shared" si="207"/>
        <v>149918.20000000001</v>
      </c>
    </row>
    <row r="1170" spans="1:15" ht="33" x14ac:dyDescent="0.2">
      <c r="A1170" s="52" t="str">
        <f ca="1">IF(ISERROR(MATCH(E1170,Код_КЦСР,0)),"",INDIRECT(ADDRESS(MATCH(E1170,Код_КЦСР,0)+1,2,,,"КЦСР")))</f>
        <v>Туристско-рекреационный кластер «Центральная городская набережная», в рамках софинансирования</v>
      </c>
      <c r="B1170" s="25">
        <v>811</v>
      </c>
      <c r="C1170" s="87" t="s">
        <v>73</v>
      </c>
      <c r="D1170" s="87" t="s">
        <v>61</v>
      </c>
      <c r="E1170" s="25" t="s">
        <v>689</v>
      </c>
      <c r="F1170" s="25"/>
      <c r="G1170" s="88"/>
      <c r="H1170" s="88"/>
      <c r="I1170" s="67"/>
      <c r="J1170" s="88"/>
      <c r="K1170" s="67"/>
      <c r="L1170" s="88">
        <f>L1171</f>
        <v>1679.6</v>
      </c>
      <c r="M1170" s="67">
        <f t="shared" si="218"/>
        <v>1679.6</v>
      </c>
      <c r="N1170" s="88">
        <f>N1171</f>
        <v>20</v>
      </c>
      <c r="O1170" s="67">
        <f t="shared" si="207"/>
        <v>1699.6</v>
      </c>
    </row>
    <row r="1171" spans="1:15" ht="33" x14ac:dyDescent="0.2">
      <c r="A1171" s="52" t="str">
        <f ca="1">IF(ISERROR(MATCH(F1171,Код_КВР,0)),"",INDIRECT(ADDRESS(MATCH(F1171,Код_КВР,0)+1,2,,,"КВР")))</f>
        <v>Капитальные вложения в объекты государственной (муниципальной) собственности</v>
      </c>
      <c r="B1171" s="25">
        <v>811</v>
      </c>
      <c r="C1171" s="87" t="s">
        <v>73</v>
      </c>
      <c r="D1171" s="87" t="s">
        <v>61</v>
      </c>
      <c r="E1171" s="25" t="s">
        <v>689</v>
      </c>
      <c r="F1171" s="25">
        <v>400</v>
      </c>
      <c r="G1171" s="88"/>
      <c r="H1171" s="88"/>
      <c r="I1171" s="67"/>
      <c r="J1171" s="88"/>
      <c r="K1171" s="67"/>
      <c r="L1171" s="88">
        <f>L1172</f>
        <v>1679.6</v>
      </c>
      <c r="M1171" s="67">
        <f t="shared" si="218"/>
        <v>1679.6</v>
      </c>
      <c r="N1171" s="88">
        <f>N1172</f>
        <v>20</v>
      </c>
      <c r="O1171" s="67">
        <f t="shared" ref="O1171:O1234" si="219">M1171+N1171</f>
        <v>1699.6</v>
      </c>
    </row>
    <row r="1172" spans="1:15" x14ac:dyDescent="0.2">
      <c r="A1172" s="52" t="str">
        <f ca="1">IF(ISERROR(MATCH(F1172,Код_КВР,0)),"",INDIRECT(ADDRESS(MATCH(F1172,Код_КВР,0)+1,2,,,"КВР")))</f>
        <v>Бюджетные инвестиции</v>
      </c>
      <c r="B1172" s="25">
        <v>811</v>
      </c>
      <c r="C1172" s="87" t="s">
        <v>73</v>
      </c>
      <c r="D1172" s="87" t="s">
        <v>61</v>
      </c>
      <c r="E1172" s="25" t="s">
        <v>689</v>
      </c>
      <c r="F1172" s="25">
        <v>410</v>
      </c>
      <c r="G1172" s="88"/>
      <c r="H1172" s="88"/>
      <c r="I1172" s="67"/>
      <c r="J1172" s="88"/>
      <c r="K1172" s="67"/>
      <c r="L1172" s="88">
        <f>1496.8+182.8</f>
        <v>1679.6</v>
      </c>
      <c r="M1172" s="67">
        <f t="shared" si="218"/>
        <v>1679.6</v>
      </c>
      <c r="N1172" s="88">
        <v>20</v>
      </c>
      <c r="O1172" s="67">
        <f t="shared" si="219"/>
        <v>1699.6</v>
      </c>
    </row>
    <row r="1173" spans="1:15" ht="66" x14ac:dyDescent="0.2">
      <c r="A1173" s="52" t="str">
        <f ca="1">IF(ISERROR(MATCH(E1173,Код_КЦСР,0)),"",INDIRECT(ADDRESS(MATCH(E1173,Код_КЦСР,0)+1,2,,,"КЦСР")))</f>
        <v>Реализация мероприятий по строительству (реконструкции) объектов обеспечивающей инфраструктуры с длительным сроком окупаемости, находящихся в муниципальной собственности, за счет средств вышестоящих бюджетов</v>
      </c>
      <c r="B1173" s="25">
        <v>811</v>
      </c>
      <c r="C1173" s="87" t="s">
        <v>73</v>
      </c>
      <c r="D1173" s="87" t="s">
        <v>61</v>
      </c>
      <c r="E1173" s="25" t="s">
        <v>620</v>
      </c>
      <c r="F1173" s="25"/>
      <c r="G1173" s="88">
        <f>G1174</f>
        <v>148181.9</v>
      </c>
      <c r="H1173" s="88">
        <f>H1174</f>
        <v>0</v>
      </c>
      <c r="I1173" s="67">
        <f t="shared" si="213"/>
        <v>148181.9</v>
      </c>
      <c r="J1173" s="88">
        <f>J1174</f>
        <v>0</v>
      </c>
      <c r="K1173" s="67">
        <f t="shared" si="217"/>
        <v>148181.9</v>
      </c>
      <c r="L1173" s="88">
        <f>L1174</f>
        <v>0</v>
      </c>
      <c r="M1173" s="67">
        <f t="shared" si="218"/>
        <v>148181.9</v>
      </c>
      <c r="N1173" s="88">
        <f>N1174</f>
        <v>0</v>
      </c>
      <c r="O1173" s="67">
        <f t="shared" si="219"/>
        <v>148181.9</v>
      </c>
    </row>
    <row r="1174" spans="1:15" ht="33" x14ac:dyDescent="0.2">
      <c r="A1174" s="52" t="str">
        <f ca="1">IF(ISERROR(MATCH(F1174,Код_КВР,0)),"",INDIRECT(ADDRESS(MATCH(F1174,Код_КВР,0)+1,2,,,"КВР")))</f>
        <v>Капитальные вложения в объекты государственной (муниципальной) собственности</v>
      </c>
      <c r="B1174" s="25">
        <v>811</v>
      </c>
      <c r="C1174" s="87" t="s">
        <v>73</v>
      </c>
      <c r="D1174" s="87" t="s">
        <v>61</v>
      </c>
      <c r="E1174" s="25" t="s">
        <v>620</v>
      </c>
      <c r="F1174" s="25">
        <v>400</v>
      </c>
      <c r="G1174" s="88">
        <f>G1175</f>
        <v>148181.9</v>
      </c>
      <c r="H1174" s="88">
        <f>H1175</f>
        <v>0</v>
      </c>
      <c r="I1174" s="67">
        <f t="shared" si="213"/>
        <v>148181.9</v>
      </c>
      <c r="J1174" s="88">
        <f>J1175</f>
        <v>0</v>
      </c>
      <c r="K1174" s="67">
        <f t="shared" si="217"/>
        <v>148181.9</v>
      </c>
      <c r="L1174" s="88">
        <f>L1175</f>
        <v>0</v>
      </c>
      <c r="M1174" s="67">
        <f t="shared" si="218"/>
        <v>148181.9</v>
      </c>
      <c r="N1174" s="88">
        <f>N1175</f>
        <v>0</v>
      </c>
      <c r="O1174" s="67">
        <f t="shared" si="219"/>
        <v>148181.9</v>
      </c>
    </row>
    <row r="1175" spans="1:15" x14ac:dyDescent="0.2">
      <c r="A1175" s="52" t="str">
        <f ca="1">IF(ISERROR(MATCH(F1175,Код_КВР,0)),"",INDIRECT(ADDRESS(MATCH(F1175,Код_КВР,0)+1,2,,,"КВР")))</f>
        <v>Бюджетные инвестиции</v>
      </c>
      <c r="B1175" s="25">
        <v>811</v>
      </c>
      <c r="C1175" s="87" t="s">
        <v>73</v>
      </c>
      <c r="D1175" s="87" t="s">
        <v>61</v>
      </c>
      <c r="E1175" s="25" t="s">
        <v>620</v>
      </c>
      <c r="F1175" s="25">
        <v>410</v>
      </c>
      <c r="G1175" s="88">
        <v>148181.9</v>
      </c>
      <c r="H1175" s="88"/>
      <c r="I1175" s="67">
        <f t="shared" si="213"/>
        <v>148181.9</v>
      </c>
      <c r="J1175" s="88"/>
      <c r="K1175" s="67">
        <f t="shared" si="217"/>
        <v>148181.9</v>
      </c>
      <c r="L1175" s="88"/>
      <c r="M1175" s="67">
        <f t="shared" si="218"/>
        <v>148181.9</v>
      </c>
      <c r="N1175" s="88"/>
      <c r="O1175" s="67">
        <f t="shared" si="219"/>
        <v>148181.9</v>
      </c>
    </row>
    <row r="1176" spans="1:15" x14ac:dyDescent="0.2">
      <c r="A1176" s="52" t="str">
        <f ca="1">IF(ISERROR(MATCH(E1176,Код_КЦСР,0)),"",INDIRECT(ADDRESS(MATCH(E1176,Код_КЦСР,0)+1,2,,,"КЦСР")))</f>
        <v>Строительство объектов сметной стоимостью 100 млн. рублей и более</v>
      </c>
      <c r="B1176" s="25">
        <v>811</v>
      </c>
      <c r="C1176" s="87" t="s">
        <v>73</v>
      </c>
      <c r="D1176" s="87" t="s">
        <v>61</v>
      </c>
      <c r="E1176" s="25" t="s">
        <v>607</v>
      </c>
      <c r="F1176" s="25"/>
      <c r="G1176" s="88">
        <f t="shared" ref="G1176:N1178" si="220">G1177</f>
        <v>36.700000000000003</v>
      </c>
      <c r="H1176" s="88">
        <f t="shared" si="220"/>
        <v>0</v>
      </c>
      <c r="I1176" s="67">
        <f t="shared" si="213"/>
        <v>36.700000000000003</v>
      </c>
      <c r="J1176" s="88">
        <f t="shared" si="220"/>
        <v>0</v>
      </c>
      <c r="K1176" s="67">
        <f t="shared" si="217"/>
        <v>36.700000000000003</v>
      </c>
      <c r="L1176" s="88">
        <f t="shared" si="220"/>
        <v>0</v>
      </c>
      <c r="M1176" s="67">
        <f t="shared" si="218"/>
        <v>36.700000000000003</v>
      </c>
      <c r="N1176" s="88">
        <f t="shared" si="220"/>
        <v>0</v>
      </c>
      <c r="O1176" s="67">
        <f t="shared" si="219"/>
        <v>36.700000000000003</v>
      </c>
    </row>
    <row r="1177" spans="1:15" ht="33.75" customHeight="1" x14ac:dyDescent="0.2">
      <c r="A1177" s="52" t="str">
        <f ca="1">IF(ISERROR(MATCH(E1177,Код_КЦСР,0)),"",INDIRECT(ADDRESS(MATCH(E1177,Код_КЦСР,0)+1,2,,,"КЦСР")))</f>
        <v>Индустриальный парк «Череповец». Инженерная и транспортная инфраструктура территории</v>
      </c>
      <c r="B1177" s="25">
        <v>811</v>
      </c>
      <c r="C1177" s="87" t="s">
        <v>73</v>
      </c>
      <c r="D1177" s="87" t="s">
        <v>61</v>
      </c>
      <c r="E1177" s="25" t="s">
        <v>610</v>
      </c>
      <c r="F1177" s="25"/>
      <c r="G1177" s="88">
        <f t="shared" si="220"/>
        <v>36.700000000000003</v>
      </c>
      <c r="H1177" s="88">
        <f t="shared" si="220"/>
        <v>0</v>
      </c>
      <c r="I1177" s="67">
        <f t="shared" si="213"/>
        <v>36.700000000000003</v>
      </c>
      <c r="J1177" s="88">
        <f t="shared" si="220"/>
        <v>0</v>
      </c>
      <c r="K1177" s="67">
        <f t="shared" si="217"/>
        <v>36.700000000000003</v>
      </c>
      <c r="L1177" s="88">
        <f t="shared" si="220"/>
        <v>0</v>
      </c>
      <c r="M1177" s="67">
        <f t="shared" si="218"/>
        <v>36.700000000000003</v>
      </c>
      <c r="N1177" s="88">
        <f t="shared" si="220"/>
        <v>0</v>
      </c>
      <c r="O1177" s="67">
        <f t="shared" si="219"/>
        <v>36.700000000000003</v>
      </c>
    </row>
    <row r="1178" spans="1:15" ht="33" x14ac:dyDescent="0.2">
      <c r="A1178" s="52" t="str">
        <f ca="1">IF(ISERROR(MATCH(F1178,Код_КВР,0)),"",INDIRECT(ADDRESS(MATCH(F1178,Код_КВР,0)+1,2,,,"КВР")))</f>
        <v>Капитальные вложения в объекты государственной (муниципальной) собственности</v>
      </c>
      <c r="B1178" s="25">
        <v>811</v>
      </c>
      <c r="C1178" s="87" t="s">
        <v>73</v>
      </c>
      <c r="D1178" s="87" t="s">
        <v>61</v>
      </c>
      <c r="E1178" s="25" t="s">
        <v>610</v>
      </c>
      <c r="F1178" s="25">
        <v>400</v>
      </c>
      <c r="G1178" s="88">
        <f t="shared" si="220"/>
        <v>36.700000000000003</v>
      </c>
      <c r="H1178" s="88">
        <f t="shared" si="220"/>
        <v>0</v>
      </c>
      <c r="I1178" s="67">
        <f t="shared" si="213"/>
        <v>36.700000000000003</v>
      </c>
      <c r="J1178" s="88">
        <f t="shared" si="220"/>
        <v>0</v>
      </c>
      <c r="K1178" s="67">
        <f t="shared" si="217"/>
        <v>36.700000000000003</v>
      </c>
      <c r="L1178" s="88">
        <f t="shared" si="220"/>
        <v>0</v>
      </c>
      <c r="M1178" s="67">
        <f t="shared" si="218"/>
        <v>36.700000000000003</v>
      </c>
      <c r="N1178" s="88">
        <f t="shared" si="220"/>
        <v>0</v>
      </c>
      <c r="O1178" s="67">
        <f t="shared" si="219"/>
        <v>36.700000000000003</v>
      </c>
    </row>
    <row r="1179" spans="1:15" x14ac:dyDescent="0.2">
      <c r="A1179" s="52" t="str">
        <f ca="1">IF(ISERROR(MATCH(F1179,Код_КВР,0)),"",INDIRECT(ADDRESS(MATCH(F1179,Код_КВР,0)+1,2,,,"КВР")))</f>
        <v>Бюджетные инвестиции</v>
      </c>
      <c r="B1179" s="25">
        <v>811</v>
      </c>
      <c r="C1179" s="87" t="s">
        <v>73</v>
      </c>
      <c r="D1179" s="87" t="s">
        <v>61</v>
      </c>
      <c r="E1179" s="25" t="s">
        <v>610</v>
      </c>
      <c r="F1179" s="25">
        <v>410</v>
      </c>
      <c r="G1179" s="88">
        <v>36.700000000000003</v>
      </c>
      <c r="H1179" s="88"/>
      <c r="I1179" s="67">
        <f t="shared" si="213"/>
        <v>36.700000000000003</v>
      </c>
      <c r="J1179" s="88"/>
      <c r="K1179" s="67">
        <f t="shared" si="217"/>
        <v>36.700000000000003</v>
      </c>
      <c r="L1179" s="88"/>
      <c r="M1179" s="67">
        <f t="shared" si="218"/>
        <v>36.700000000000003</v>
      </c>
      <c r="N1179" s="88"/>
      <c r="O1179" s="67">
        <f t="shared" si="219"/>
        <v>36.700000000000003</v>
      </c>
    </row>
    <row r="1180" spans="1:15" x14ac:dyDescent="0.2">
      <c r="A1180" s="64" t="str">
        <f ca="1">IF(ISERROR(MATCH(E1180,Код_КЦСР,0)),"",INDIRECT(ADDRESS(MATCH(E1180,Код_КЦСР,0)+1,2,,,"КЦСР")))</f>
        <v>Капитальный ремонт объектов муниципальной собственности</v>
      </c>
      <c r="B1180" s="26">
        <v>811</v>
      </c>
      <c r="C1180" s="65" t="s">
        <v>73</v>
      </c>
      <c r="D1180" s="65" t="s">
        <v>61</v>
      </c>
      <c r="E1180" s="26" t="s">
        <v>366</v>
      </c>
      <c r="F1180" s="26"/>
      <c r="G1180" s="66">
        <f t="shared" ref="G1180:N1182" si="221">G1181</f>
        <v>17762.2</v>
      </c>
      <c r="H1180" s="66">
        <f t="shared" si="221"/>
        <v>0</v>
      </c>
      <c r="I1180" s="67">
        <f t="shared" si="213"/>
        <v>17762.2</v>
      </c>
      <c r="J1180" s="66">
        <f t="shared" si="221"/>
        <v>0</v>
      </c>
      <c r="K1180" s="67">
        <f t="shared" si="217"/>
        <v>17762.2</v>
      </c>
      <c r="L1180" s="66">
        <f t="shared" si="221"/>
        <v>0</v>
      </c>
      <c r="M1180" s="67">
        <f t="shared" si="218"/>
        <v>17762.2</v>
      </c>
      <c r="N1180" s="66">
        <f t="shared" si="221"/>
        <v>-23.6</v>
      </c>
      <c r="O1180" s="67">
        <f t="shared" si="219"/>
        <v>17738.600000000002</v>
      </c>
    </row>
    <row r="1181" spans="1:15" ht="36" customHeight="1" x14ac:dyDescent="0.2">
      <c r="A1181" s="64" t="str">
        <f ca="1">IF(ISERROR(MATCH(E1181,Код_КЦСР,0)),"",INDIRECT(ADDRESS(MATCH(E1181,Код_КЦСР,0)+1,2,,,"КЦСР")))</f>
        <v>Капитальный ремонт объектов муниципальной собственности, за счет средств городского бюджета</v>
      </c>
      <c r="B1181" s="26">
        <v>811</v>
      </c>
      <c r="C1181" s="65" t="s">
        <v>73</v>
      </c>
      <c r="D1181" s="65" t="s">
        <v>61</v>
      </c>
      <c r="E1181" s="26" t="s">
        <v>559</v>
      </c>
      <c r="F1181" s="26"/>
      <c r="G1181" s="66">
        <f t="shared" si="221"/>
        <v>17762.2</v>
      </c>
      <c r="H1181" s="66">
        <f t="shared" si="221"/>
        <v>0</v>
      </c>
      <c r="I1181" s="67">
        <f t="shared" si="213"/>
        <v>17762.2</v>
      </c>
      <c r="J1181" s="66">
        <f t="shared" si="221"/>
        <v>0</v>
      </c>
      <c r="K1181" s="67">
        <f t="shared" si="217"/>
        <v>17762.2</v>
      </c>
      <c r="L1181" s="66">
        <f t="shared" si="221"/>
        <v>0</v>
      </c>
      <c r="M1181" s="67">
        <f t="shared" si="218"/>
        <v>17762.2</v>
      </c>
      <c r="N1181" s="66">
        <f t="shared" si="221"/>
        <v>-23.6</v>
      </c>
      <c r="O1181" s="67">
        <f t="shared" si="219"/>
        <v>17738.600000000002</v>
      </c>
    </row>
    <row r="1182" spans="1:15" ht="33" x14ac:dyDescent="0.2">
      <c r="A1182" s="64" t="str">
        <f ca="1">IF(ISERROR(MATCH(F1182,Код_КВР,0)),"",INDIRECT(ADDRESS(MATCH(F1182,Код_КВР,0)+1,2,,,"КВР")))</f>
        <v>Закупка товаров, работ и услуг для обеспечения государственных (муниципальных) нужд</v>
      </c>
      <c r="B1182" s="26">
        <v>811</v>
      </c>
      <c r="C1182" s="65" t="s">
        <v>73</v>
      </c>
      <c r="D1182" s="65" t="s">
        <v>61</v>
      </c>
      <c r="E1182" s="26" t="s">
        <v>559</v>
      </c>
      <c r="F1182" s="26">
        <v>200</v>
      </c>
      <c r="G1182" s="66">
        <f t="shared" si="221"/>
        <v>17762.2</v>
      </c>
      <c r="H1182" s="66">
        <f t="shared" si="221"/>
        <v>0</v>
      </c>
      <c r="I1182" s="67">
        <f t="shared" si="213"/>
        <v>17762.2</v>
      </c>
      <c r="J1182" s="66">
        <f t="shared" si="221"/>
        <v>0</v>
      </c>
      <c r="K1182" s="67">
        <f t="shared" si="217"/>
        <v>17762.2</v>
      </c>
      <c r="L1182" s="66">
        <f t="shared" si="221"/>
        <v>0</v>
      </c>
      <c r="M1182" s="67">
        <f t="shared" si="218"/>
        <v>17762.2</v>
      </c>
      <c r="N1182" s="66">
        <f t="shared" si="221"/>
        <v>-23.6</v>
      </c>
      <c r="O1182" s="67">
        <f t="shared" si="219"/>
        <v>17738.600000000002</v>
      </c>
    </row>
    <row r="1183" spans="1:15" ht="33" x14ac:dyDescent="0.2">
      <c r="A1183" s="64" t="str">
        <f ca="1">IF(ISERROR(MATCH(F1183,Код_КВР,0)),"",INDIRECT(ADDRESS(MATCH(F1183,Код_КВР,0)+1,2,,,"КВР")))</f>
        <v>Иные закупки товаров, работ и услуг для обеспечения государственных (муниципальных) нужд</v>
      </c>
      <c r="B1183" s="26">
        <v>811</v>
      </c>
      <c r="C1183" s="65" t="s">
        <v>73</v>
      </c>
      <c r="D1183" s="65" t="s">
        <v>61</v>
      </c>
      <c r="E1183" s="26" t="s">
        <v>559</v>
      </c>
      <c r="F1183" s="26">
        <v>240</v>
      </c>
      <c r="G1183" s="66">
        <v>17762.2</v>
      </c>
      <c r="H1183" s="66"/>
      <c r="I1183" s="67">
        <f t="shared" si="213"/>
        <v>17762.2</v>
      </c>
      <c r="J1183" s="66"/>
      <c r="K1183" s="67">
        <f t="shared" si="217"/>
        <v>17762.2</v>
      </c>
      <c r="L1183" s="66"/>
      <c r="M1183" s="67">
        <f t="shared" si="218"/>
        <v>17762.2</v>
      </c>
      <c r="N1183" s="66">
        <f>-20-3.6</f>
        <v>-23.6</v>
      </c>
      <c r="O1183" s="67">
        <f t="shared" si="219"/>
        <v>17738.600000000002</v>
      </c>
    </row>
    <row r="1184" spans="1:15" x14ac:dyDescent="0.2">
      <c r="A1184" s="64" t="str">
        <f ca="1">IF(ISERROR(MATCH(E1184,Код_КЦСР,0)),"",INDIRECT(ADDRESS(MATCH(E1184,Код_КЦСР,0)+1,2,,,"КЦСР")))</f>
        <v>Обеспечение создания условий для реализации муниципальной программы</v>
      </c>
      <c r="B1184" s="26">
        <v>811</v>
      </c>
      <c r="C1184" s="65" t="s">
        <v>73</v>
      </c>
      <c r="D1184" s="65" t="s">
        <v>61</v>
      </c>
      <c r="E1184" s="26" t="s">
        <v>367</v>
      </c>
      <c r="F1184" s="26"/>
      <c r="G1184" s="66">
        <f>G1185+G1187+G1189</f>
        <v>51021.299999999996</v>
      </c>
      <c r="H1184" s="66">
        <f>H1185+H1187+H1189</f>
        <v>0</v>
      </c>
      <c r="I1184" s="67">
        <f t="shared" si="213"/>
        <v>51021.299999999996</v>
      </c>
      <c r="J1184" s="66">
        <f>J1185+J1187+J1189</f>
        <v>0</v>
      </c>
      <c r="K1184" s="67">
        <f t="shared" si="217"/>
        <v>51021.299999999996</v>
      </c>
      <c r="L1184" s="66">
        <f>L1185+L1187+L1189</f>
        <v>0</v>
      </c>
      <c r="M1184" s="67">
        <f t="shared" si="218"/>
        <v>51021.299999999996</v>
      </c>
      <c r="N1184" s="66">
        <f>N1185+N1187+N1189</f>
        <v>0</v>
      </c>
      <c r="O1184" s="67">
        <f t="shared" si="219"/>
        <v>51021.299999999996</v>
      </c>
    </row>
    <row r="1185" spans="1:15" ht="49.5" x14ac:dyDescent="0.2">
      <c r="A1185" s="64" t="str">
        <f t="shared" ref="A1185:A1190" ca="1" si="222">IF(ISERROR(MATCH(F1185,Код_КВР,0)),"",INDIRECT(ADDRESS(MATCH(F1185,Код_КВР,0)+1,2,,,"КВР")))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85" s="26">
        <v>811</v>
      </c>
      <c r="C1185" s="65" t="s">
        <v>73</v>
      </c>
      <c r="D1185" s="65" t="s">
        <v>61</v>
      </c>
      <c r="E1185" s="26" t="s">
        <v>367</v>
      </c>
      <c r="F1185" s="26">
        <v>100</v>
      </c>
      <c r="G1185" s="66">
        <f>G1186</f>
        <v>47262</v>
      </c>
      <c r="H1185" s="66">
        <f>H1186</f>
        <v>0</v>
      </c>
      <c r="I1185" s="67">
        <f t="shared" si="213"/>
        <v>47262</v>
      </c>
      <c r="J1185" s="66">
        <f>J1186</f>
        <v>0</v>
      </c>
      <c r="K1185" s="67">
        <f t="shared" si="217"/>
        <v>47262</v>
      </c>
      <c r="L1185" s="66">
        <f>L1186</f>
        <v>0</v>
      </c>
      <c r="M1185" s="67">
        <f t="shared" si="218"/>
        <v>47262</v>
      </c>
      <c r="N1185" s="66">
        <f>N1186</f>
        <v>0</v>
      </c>
      <c r="O1185" s="67">
        <f t="shared" si="219"/>
        <v>47262</v>
      </c>
    </row>
    <row r="1186" spans="1:15" x14ac:dyDescent="0.2">
      <c r="A1186" s="64" t="str">
        <f t="shared" ca="1" si="222"/>
        <v>Расходы на выплаты персоналу казенных учреждений</v>
      </c>
      <c r="B1186" s="26">
        <v>811</v>
      </c>
      <c r="C1186" s="65" t="s">
        <v>73</v>
      </c>
      <c r="D1186" s="65" t="s">
        <v>61</v>
      </c>
      <c r="E1186" s="26" t="s">
        <v>367</v>
      </c>
      <c r="F1186" s="26">
        <v>110</v>
      </c>
      <c r="G1186" s="66">
        <f>36229.5+91.2+10941.3</f>
        <v>47262</v>
      </c>
      <c r="H1186" s="66"/>
      <c r="I1186" s="67">
        <f t="shared" si="213"/>
        <v>47262</v>
      </c>
      <c r="J1186" s="66"/>
      <c r="K1186" s="67">
        <f t="shared" si="217"/>
        <v>47262</v>
      </c>
      <c r="L1186" s="66"/>
      <c r="M1186" s="67">
        <f t="shared" si="218"/>
        <v>47262</v>
      </c>
      <c r="N1186" s="66"/>
      <c r="O1186" s="67">
        <f t="shared" si="219"/>
        <v>47262</v>
      </c>
    </row>
    <row r="1187" spans="1:15" ht="33" x14ac:dyDescent="0.2">
      <c r="A1187" s="64" t="str">
        <f t="shared" ca="1" si="222"/>
        <v>Закупка товаров, работ и услуг для обеспечения государственных (муниципальных) нужд</v>
      </c>
      <c r="B1187" s="26">
        <v>811</v>
      </c>
      <c r="C1187" s="65" t="s">
        <v>73</v>
      </c>
      <c r="D1187" s="65" t="s">
        <v>61</v>
      </c>
      <c r="E1187" s="26" t="s">
        <v>367</v>
      </c>
      <c r="F1187" s="26">
        <v>200</v>
      </c>
      <c r="G1187" s="66">
        <f>G1188</f>
        <v>3521.7</v>
      </c>
      <c r="H1187" s="66">
        <f>H1188</f>
        <v>0</v>
      </c>
      <c r="I1187" s="67">
        <f t="shared" si="213"/>
        <v>3521.7</v>
      </c>
      <c r="J1187" s="66">
        <f>J1188</f>
        <v>0</v>
      </c>
      <c r="K1187" s="67">
        <f t="shared" si="217"/>
        <v>3521.7</v>
      </c>
      <c r="L1187" s="66">
        <f>L1188</f>
        <v>0</v>
      </c>
      <c r="M1187" s="67">
        <f t="shared" si="218"/>
        <v>3521.7</v>
      </c>
      <c r="N1187" s="66">
        <f>N1188</f>
        <v>0</v>
      </c>
      <c r="O1187" s="67">
        <f t="shared" si="219"/>
        <v>3521.7</v>
      </c>
    </row>
    <row r="1188" spans="1:15" ht="33" x14ac:dyDescent="0.2">
      <c r="A1188" s="64" t="str">
        <f t="shared" ca="1" si="222"/>
        <v>Иные закупки товаров, работ и услуг для обеспечения государственных (муниципальных) нужд</v>
      </c>
      <c r="B1188" s="26">
        <v>811</v>
      </c>
      <c r="C1188" s="65" t="s">
        <v>73</v>
      </c>
      <c r="D1188" s="65" t="s">
        <v>61</v>
      </c>
      <c r="E1188" s="26" t="s">
        <v>367</v>
      </c>
      <c r="F1188" s="26">
        <v>240</v>
      </c>
      <c r="G1188" s="66">
        <f>367.3+1270.8+737.3+596.8+30+519.5</f>
        <v>3521.7</v>
      </c>
      <c r="H1188" s="66"/>
      <c r="I1188" s="67">
        <f t="shared" si="213"/>
        <v>3521.7</v>
      </c>
      <c r="J1188" s="66"/>
      <c r="K1188" s="67">
        <f t="shared" si="217"/>
        <v>3521.7</v>
      </c>
      <c r="L1188" s="66"/>
      <c r="M1188" s="67">
        <f t="shared" si="218"/>
        <v>3521.7</v>
      </c>
      <c r="N1188" s="66"/>
      <c r="O1188" s="67">
        <f t="shared" si="219"/>
        <v>3521.7</v>
      </c>
    </row>
    <row r="1189" spans="1:15" x14ac:dyDescent="0.2">
      <c r="A1189" s="64" t="str">
        <f t="shared" ca="1" si="222"/>
        <v>Иные бюджетные ассигнования</v>
      </c>
      <c r="B1189" s="26">
        <v>811</v>
      </c>
      <c r="C1189" s="65" t="s">
        <v>73</v>
      </c>
      <c r="D1189" s="65" t="s">
        <v>61</v>
      </c>
      <c r="E1189" s="26" t="s">
        <v>367</v>
      </c>
      <c r="F1189" s="26">
        <v>800</v>
      </c>
      <c r="G1189" s="66">
        <f>G1190</f>
        <v>237.6</v>
      </c>
      <c r="H1189" s="66">
        <f>H1190</f>
        <v>0</v>
      </c>
      <c r="I1189" s="67">
        <f t="shared" si="213"/>
        <v>237.6</v>
      </c>
      <c r="J1189" s="66">
        <f>J1190</f>
        <v>0</v>
      </c>
      <c r="K1189" s="67">
        <f t="shared" si="217"/>
        <v>237.6</v>
      </c>
      <c r="L1189" s="66">
        <f>L1190</f>
        <v>0</v>
      </c>
      <c r="M1189" s="67">
        <f t="shared" si="218"/>
        <v>237.6</v>
      </c>
      <c r="N1189" s="66">
        <f>N1190</f>
        <v>0</v>
      </c>
      <c r="O1189" s="67">
        <f t="shared" si="219"/>
        <v>237.6</v>
      </c>
    </row>
    <row r="1190" spans="1:15" x14ac:dyDescent="0.2">
      <c r="A1190" s="64" t="str">
        <f t="shared" ca="1" si="222"/>
        <v>Уплата налогов, сборов и иных платежей</v>
      </c>
      <c r="B1190" s="26">
        <v>811</v>
      </c>
      <c r="C1190" s="65" t="s">
        <v>73</v>
      </c>
      <c r="D1190" s="65" t="s">
        <v>61</v>
      </c>
      <c r="E1190" s="26" t="s">
        <v>367</v>
      </c>
      <c r="F1190" s="26">
        <v>850</v>
      </c>
      <c r="G1190" s="66">
        <f>66.2+21.4+150</f>
        <v>237.6</v>
      </c>
      <c r="H1190" s="66"/>
      <c r="I1190" s="67">
        <f t="shared" si="213"/>
        <v>237.6</v>
      </c>
      <c r="J1190" s="66"/>
      <c r="K1190" s="67">
        <f t="shared" si="217"/>
        <v>237.6</v>
      </c>
      <c r="L1190" s="66"/>
      <c r="M1190" s="67">
        <f t="shared" si="218"/>
        <v>237.6</v>
      </c>
      <c r="N1190" s="66"/>
      <c r="O1190" s="67">
        <f t="shared" si="219"/>
        <v>237.6</v>
      </c>
    </row>
    <row r="1191" spans="1:15" x14ac:dyDescent="0.2">
      <c r="A1191" s="64" t="str">
        <f ca="1">IF(ISERROR(MATCH(C1191,Код_Раздел,0)),"",INDIRECT(ADDRESS(MATCH(C1191,Код_Раздел,0)+1,2,,,"Раздел")))</f>
        <v>Жилищно-коммунальное хозяйство</v>
      </c>
      <c r="B1191" s="26">
        <v>811</v>
      </c>
      <c r="C1191" s="65" t="s">
        <v>78</v>
      </c>
      <c r="D1191" s="65"/>
      <c r="E1191" s="26"/>
      <c r="F1191" s="26"/>
      <c r="G1191" s="66">
        <f>G1192</f>
        <v>48217.100000000006</v>
      </c>
      <c r="H1191" s="66">
        <f>H1192</f>
        <v>0</v>
      </c>
      <c r="I1191" s="67">
        <f t="shared" si="213"/>
        <v>48217.100000000006</v>
      </c>
      <c r="J1191" s="66">
        <f>J1192</f>
        <v>393.3</v>
      </c>
      <c r="K1191" s="67">
        <f t="shared" si="217"/>
        <v>48610.400000000009</v>
      </c>
      <c r="L1191" s="66">
        <f>L1192</f>
        <v>8389</v>
      </c>
      <c r="M1191" s="67">
        <f t="shared" si="218"/>
        <v>56999.400000000009</v>
      </c>
      <c r="N1191" s="66">
        <f>N1192</f>
        <v>54513.399999999994</v>
      </c>
      <c r="O1191" s="67">
        <f t="shared" si="219"/>
        <v>111512.8</v>
      </c>
    </row>
    <row r="1192" spans="1:15" x14ac:dyDescent="0.2">
      <c r="A1192" s="64" t="s">
        <v>104</v>
      </c>
      <c r="B1192" s="26">
        <v>811</v>
      </c>
      <c r="C1192" s="65" t="s">
        <v>78</v>
      </c>
      <c r="D1192" s="65" t="s">
        <v>72</v>
      </c>
      <c r="E1192" s="26"/>
      <c r="F1192" s="26"/>
      <c r="G1192" s="66">
        <f>G1205+G1201</f>
        <v>48217.100000000006</v>
      </c>
      <c r="H1192" s="66">
        <f>H1205+H1201</f>
        <v>0</v>
      </c>
      <c r="I1192" s="67">
        <f t="shared" si="213"/>
        <v>48217.100000000006</v>
      </c>
      <c r="J1192" s="66">
        <f>J1205+J1201</f>
        <v>393.3</v>
      </c>
      <c r="K1192" s="67">
        <f t="shared" si="217"/>
        <v>48610.400000000009</v>
      </c>
      <c r="L1192" s="66">
        <f>L1205+L1201</f>
        <v>8389</v>
      </c>
      <c r="M1192" s="67">
        <f t="shared" si="218"/>
        <v>56999.400000000009</v>
      </c>
      <c r="N1192" s="66">
        <f>N1205+N1201+N1193</f>
        <v>54513.399999999994</v>
      </c>
      <c r="O1192" s="67">
        <f t="shared" si="219"/>
        <v>111512.8</v>
      </c>
    </row>
    <row r="1193" spans="1:15" ht="33" x14ac:dyDescent="0.2">
      <c r="A1193" s="64" t="str">
        <f ca="1">IF(ISERROR(MATCH(E1193,Код_КЦСР,0)),"",INDIRECT(ADDRESS(MATCH(E1193,Код_КЦСР,0)+1,2,,,"КЦСР")))</f>
        <v>Муниципальная программа «Формирование современной городской среды муниципального образования «Город Череповец» на 2018 – 2022 годы</v>
      </c>
      <c r="B1193" s="26">
        <v>811</v>
      </c>
      <c r="C1193" s="65" t="s">
        <v>78</v>
      </c>
      <c r="D1193" s="65" t="s">
        <v>72</v>
      </c>
      <c r="E1193" s="26" t="s">
        <v>710</v>
      </c>
      <c r="F1193" s="26"/>
      <c r="G1193" s="66"/>
      <c r="H1193" s="66"/>
      <c r="I1193" s="67"/>
      <c r="J1193" s="66"/>
      <c r="K1193" s="67"/>
      <c r="L1193" s="66"/>
      <c r="M1193" s="67"/>
      <c r="N1193" s="66">
        <f>N1194</f>
        <v>54043.199999999997</v>
      </c>
      <c r="O1193" s="67">
        <f t="shared" si="219"/>
        <v>54043.199999999997</v>
      </c>
    </row>
    <row r="1194" spans="1:15" x14ac:dyDescent="0.2">
      <c r="A1194" s="64" t="str">
        <f ca="1">IF(ISERROR(MATCH(E1194,Код_КЦСР,0)),"",INDIRECT(ADDRESS(MATCH(E1194,Код_КЦСР,0)+1,2,,,"КЦСР")))</f>
        <v>Благоустройство общественных территорий</v>
      </c>
      <c r="B1194" s="26">
        <v>811</v>
      </c>
      <c r="C1194" s="65" t="s">
        <v>78</v>
      </c>
      <c r="D1194" s="65" t="s">
        <v>72</v>
      </c>
      <c r="E1194" s="26" t="s">
        <v>718</v>
      </c>
      <c r="F1194" s="26"/>
      <c r="G1194" s="66"/>
      <c r="H1194" s="66"/>
      <c r="I1194" s="67"/>
      <c r="J1194" s="66"/>
      <c r="K1194" s="67"/>
      <c r="L1194" s="66"/>
      <c r="M1194" s="67"/>
      <c r="N1194" s="66">
        <f>N1195+N1198</f>
        <v>54043.199999999997</v>
      </c>
      <c r="O1194" s="67">
        <f t="shared" si="219"/>
        <v>54043.199999999997</v>
      </c>
    </row>
    <row r="1195" spans="1:15" ht="33.75" customHeight="1" x14ac:dyDescent="0.2">
      <c r="A1195" s="64" t="str">
        <f ca="1">IF(ISERROR(MATCH(E1195,Код_КЦСР,0)),"",INDIRECT(ADDRESS(MATCH(E1195,Код_КЦСР,0)+1,2,,,"КЦСР")))</f>
        <v xml:space="preserve">Благоустройство общественных территорий, в рамках софинансирования </v>
      </c>
      <c r="B1195" s="26">
        <v>811</v>
      </c>
      <c r="C1195" s="65" t="s">
        <v>78</v>
      </c>
      <c r="D1195" s="65" t="s">
        <v>72</v>
      </c>
      <c r="E1195" s="26" t="s">
        <v>719</v>
      </c>
      <c r="F1195" s="26"/>
      <c r="G1195" s="66"/>
      <c r="H1195" s="66"/>
      <c r="I1195" s="67"/>
      <c r="J1195" s="66"/>
      <c r="K1195" s="67"/>
      <c r="L1195" s="66"/>
      <c r="M1195" s="67"/>
      <c r="N1195" s="66">
        <f>N1196</f>
        <v>9007.2000000000007</v>
      </c>
      <c r="O1195" s="67">
        <f t="shared" si="219"/>
        <v>9007.2000000000007</v>
      </c>
    </row>
    <row r="1196" spans="1:15" ht="33" x14ac:dyDescent="0.2">
      <c r="A1196" s="64" t="str">
        <f ca="1">IF(ISERROR(MATCH(F1196,Код_КВР,0)),"",INDIRECT(ADDRESS(MATCH(F1196,Код_КВР,0)+1,2,,,"КВР")))</f>
        <v>Закупка товаров, работ и услуг для обеспечения государственных (муниципальных) нужд</v>
      </c>
      <c r="B1196" s="26">
        <v>811</v>
      </c>
      <c r="C1196" s="65" t="s">
        <v>78</v>
      </c>
      <c r="D1196" s="65" t="s">
        <v>72</v>
      </c>
      <c r="E1196" s="26" t="s">
        <v>719</v>
      </c>
      <c r="F1196" s="26">
        <v>200</v>
      </c>
      <c r="G1196" s="66"/>
      <c r="H1196" s="66"/>
      <c r="I1196" s="67"/>
      <c r="J1196" s="66"/>
      <c r="K1196" s="67"/>
      <c r="L1196" s="66"/>
      <c r="M1196" s="67"/>
      <c r="N1196" s="66">
        <f>N1197</f>
        <v>9007.2000000000007</v>
      </c>
      <c r="O1196" s="67">
        <f t="shared" si="219"/>
        <v>9007.2000000000007</v>
      </c>
    </row>
    <row r="1197" spans="1:15" ht="33" x14ac:dyDescent="0.2">
      <c r="A1197" s="64" t="str">
        <f ca="1">IF(ISERROR(MATCH(F1197,Код_КВР,0)),"",INDIRECT(ADDRESS(MATCH(F1197,Код_КВР,0)+1,2,,,"КВР")))</f>
        <v>Иные закупки товаров, работ и услуг для обеспечения государственных (муниципальных) нужд</v>
      </c>
      <c r="B1197" s="26">
        <v>811</v>
      </c>
      <c r="C1197" s="65" t="s">
        <v>78</v>
      </c>
      <c r="D1197" s="65" t="s">
        <v>72</v>
      </c>
      <c r="E1197" s="26" t="s">
        <v>719</v>
      </c>
      <c r="F1197" s="26">
        <v>240</v>
      </c>
      <c r="G1197" s="66"/>
      <c r="H1197" s="66"/>
      <c r="I1197" s="67"/>
      <c r="J1197" s="66"/>
      <c r="K1197" s="67"/>
      <c r="L1197" s="66"/>
      <c r="M1197" s="67"/>
      <c r="N1197" s="66">
        <f>3205.2+5802</f>
        <v>9007.2000000000007</v>
      </c>
      <c r="O1197" s="67">
        <f t="shared" si="219"/>
        <v>9007.2000000000007</v>
      </c>
    </row>
    <row r="1198" spans="1:15" ht="34.5" customHeight="1" x14ac:dyDescent="0.2">
      <c r="A1198" s="64" t="str">
        <f ca="1">IF(ISERROR(MATCH(E1198,Код_КЦСР,0)),"",INDIRECT(ADDRESS(MATCH(E1198,Код_КЦСР,0)+1,2,,,"КЦСР")))</f>
        <v>Благоустройство общественных территорий, за счет средств вышестоящих бюджетов</v>
      </c>
      <c r="B1198" s="26">
        <v>811</v>
      </c>
      <c r="C1198" s="65" t="s">
        <v>78</v>
      </c>
      <c r="D1198" s="65" t="s">
        <v>72</v>
      </c>
      <c r="E1198" s="26" t="s">
        <v>720</v>
      </c>
      <c r="F1198" s="26"/>
      <c r="G1198" s="66"/>
      <c r="H1198" s="66"/>
      <c r="I1198" s="67"/>
      <c r="J1198" s="66"/>
      <c r="K1198" s="67"/>
      <c r="L1198" s="66"/>
      <c r="M1198" s="67"/>
      <c r="N1198" s="66">
        <f>N1199</f>
        <v>45036</v>
      </c>
      <c r="O1198" s="67">
        <f t="shared" si="219"/>
        <v>45036</v>
      </c>
    </row>
    <row r="1199" spans="1:15" ht="33" x14ac:dyDescent="0.2">
      <c r="A1199" s="64" t="str">
        <f ca="1">IF(ISERROR(MATCH(F1199,Код_КВР,0)),"",INDIRECT(ADDRESS(MATCH(F1199,Код_КВР,0)+1,2,,,"КВР")))</f>
        <v>Закупка товаров, работ и услуг для обеспечения государственных (муниципальных) нужд</v>
      </c>
      <c r="B1199" s="26">
        <v>811</v>
      </c>
      <c r="C1199" s="65" t="s">
        <v>78</v>
      </c>
      <c r="D1199" s="65" t="s">
        <v>72</v>
      </c>
      <c r="E1199" s="26" t="s">
        <v>720</v>
      </c>
      <c r="F1199" s="26">
        <v>200</v>
      </c>
      <c r="G1199" s="66"/>
      <c r="H1199" s="66"/>
      <c r="I1199" s="67"/>
      <c r="J1199" s="66"/>
      <c r="K1199" s="67"/>
      <c r="L1199" s="66"/>
      <c r="M1199" s="67"/>
      <c r="N1199" s="66">
        <f>N1200</f>
        <v>45036</v>
      </c>
      <c r="O1199" s="67">
        <f t="shared" si="219"/>
        <v>45036</v>
      </c>
    </row>
    <row r="1200" spans="1:15" ht="33" x14ac:dyDescent="0.2">
      <c r="A1200" s="64" t="str">
        <f ca="1">IF(ISERROR(MATCH(F1200,Код_КВР,0)),"",INDIRECT(ADDRESS(MATCH(F1200,Код_КВР,0)+1,2,,,"КВР")))</f>
        <v>Иные закупки товаров, работ и услуг для обеспечения государственных (муниципальных) нужд</v>
      </c>
      <c r="B1200" s="26">
        <v>811</v>
      </c>
      <c r="C1200" s="65" t="s">
        <v>78</v>
      </c>
      <c r="D1200" s="65" t="s">
        <v>72</v>
      </c>
      <c r="E1200" s="26" t="s">
        <v>720</v>
      </c>
      <c r="F1200" s="26">
        <v>240</v>
      </c>
      <c r="G1200" s="66"/>
      <c r="H1200" s="66"/>
      <c r="I1200" s="67"/>
      <c r="J1200" s="66"/>
      <c r="K1200" s="67"/>
      <c r="L1200" s="66"/>
      <c r="M1200" s="67"/>
      <c r="N1200" s="66">
        <v>45036</v>
      </c>
      <c r="O1200" s="67">
        <f t="shared" si="219"/>
        <v>45036</v>
      </c>
    </row>
    <row r="1201" spans="1:15" ht="33" hidden="1" x14ac:dyDescent="0.2">
      <c r="A1201" s="64" t="str">
        <f ca="1">IF(ISERROR(MATCH(E1201,Код_КЦСР,0)),"",INDIRECT(ADDRESS(MATCH(E1201,Код_КЦСР,0)+1,2,,,"КЦСР")))</f>
        <v>Муниципальная программа «Развитие земельно-имущественного комплекса города Череповца» на 2014 – 2022 годы</v>
      </c>
      <c r="B1201" s="26">
        <v>811</v>
      </c>
      <c r="C1201" s="65" t="s">
        <v>78</v>
      </c>
      <c r="D1201" s="65" t="s">
        <v>72</v>
      </c>
      <c r="E1201" s="26" t="s">
        <v>356</v>
      </c>
      <c r="F1201" s="26"/>
      <c r="G1201" s="66">
        <f t="shared" ref="G1201:N1203" si="223">G1202</f>
        <v>0</v>
      </c>
      <c r="H1201" s="66">
        <f t="shared" si="223"/>
        <v>0</v>
      </c>
      <c r="I1201" s="67">
        <f t="shared" si="213"/>
        <v>0</v>
      </c>
      <c r="J1201" s="66">
        <f t="shared" si="223"/>
        <v>0</v>
      </c>
      <c r="K1201" s="67">
        <f t="shared" si="217"/>
        <v>0</v>
      </c>
      <c r="L1201" s="66">
        <f t="shared" si="223"/>
        <v>0</v>
      </c>
      <c r="M1201" s="67">
        <f t="shared" si="218"/>
        <v>0</v>
      </c>
      <c r="N1201" s="66">
        <f t="shared" si="223"/>
        <v>0</v>
      </c>
      <c r="O1201" s="67">
        <f t="shared" si="219"/>
        <v>0</v>
      </c>
    </row>
    <row r="1202" spans="1:15" ht="33" hidden="1" x14ac:dyDescent="0.2">
      <c r="A1202" s="64" t="str">
        <f ca="1">IF(ISERROR(MATCH(E1202,Код_КЦСР,0)),"",INDIRECT(ADDRESS(MATCH(E1202,Код_КЦСР,0)+1,2,,,"КЦСР")))</f>
        <v>Формирование и обеспечение сохранности муниципального земельно-имущественного комплекса</v>
      </c>
      <c r="B1202" s="26">
        <v>811</v>
      </c>
      <c r="C1202" s="65" t="s">
        <v>78</v>
      </c>
      <c r="D1202" s="65" t="s">
        <v>72</v>
      </c>
      <c r="E1202" s="26" t="s">
        <v>357</v>
      </c>
      <c r="F1202" s="26"/>
      <c r="G1202" s="67">
        <f t="shared" si="223"/>
        <v>0</v>
      </c>
      <c r="H1202" s="67">
        <f t="shared" si="223"/>
        <v>0</v>
      </c>
      <c r="I1202" s="67">
        <f t="shared" si="213"/>
        <v>0</v>
      </c>
      <c r="J1202" s="67">
        <f t="shared" si="223"/>
        <v>0</v>
      </c>
      <c r="K1202" s="67">
        <f t="shared" si="217"/>
        <v>0</v>
      </c>
      <c r="L1202" s="67">
        <f t="shared" si="223"/>
        <v>0</v>
      </c>
      <c r="M1202" s="67">
        <f t="shared" si="218"/>
        <v>0</v>
      </c>
      <c r="N1202" s="67">
        <f t="shared" si="223"/>
        <v>0</v>
      </c>
      <c r="O1202" s="67">
        <f t="shared" si="219"/>
        <v>0</v>
      </c>
    </row>
    <row r="1203" spans="1:15" ht="33" hidden="1" x14ac:dyDescent="0.2">
      <c r="A1203" s="64" t="str">
        <f ca="1">IF(ISERROR(MATCH(F1203,Код_КВР,0)),"",INDIRECT(ADDRESS(MATCH(F1203,Код_КВР,0)+1,2,,,"КВР")))</f>
        <v>Закупка товаров, работ и услуг для обеспечения государственных (муниципальных) нужд</v>
      </c>
      <c r="B1203" s="26">
        <v>811</v>
      </c>
      <c r="C1203" s="65" t="s">
        <v>78</v>
      </c>
      <c r="D1203" s="65" t="s">
        <v>72</v>
      </c>
      <c r="E1203" s="26" t="s">
        <v>357</v>
      </c>
      <c r="F1203" s="26">
        <v>200</v>
      </c>
      <c r="G1203" s="67">
        <f t="shared" si="223"/>
        <v>0</v>
      </c>
      <c r="H1203" s="67">
        <f t="shared" si="223"/>
        <v>0</v>
      </c>
      <c r="I1203" s="67">
        <f t="shared" si="213"/>
        <v>0</v>
      </c>
      <c r="J1203" s="67">
        <f t="shared" si="223"/>
        <v>0</v>
      </c>
      <c r="K1203" s="67">
        <f t="shared" si="217"/>
        <v>0</v>
      </c>
      <c r="L1203" s="67">
        <f t="shared" si="223"/>
        <v>0</v>
      </c>
      <c r="M1203" s="67">
        <f t="shared" si="218"/>
        <v>0</v>
      </c>
      <c r="N1203" s="67">
        <f t="shared" si="223"/>
        <v>0</v>
      </c>
      <c r="O1203" s="67">
        <f t="shared" si="219"/>
        <v>0</v>
      </c>
    </row>
    <row r="1204" spans="1:15" ht="33" hidden="1" x14ac:dyDescent="0.2">
      <c r="A1204" s="64" t="str">
        <f ca="1">IF(ISERROR(MATCH(F1204,Код_КВР,0)),"",INDIRECT(ADDRESS(MATCH(F1204,Код_КВР,0)+1,2,,,"КВР")))</f>
        <v>Иные закупки товаров, работ и услуг для обеспечения государственных (муниципальных) нужд</v>
      </c>
      <c r="B1204" s="26">
        <v>811</v>
      </c>
      <c r="C1204" s="65" t="s">
        <v>78</v>
      </c>
      <c r="D1204" s="65" t="s">
        <v>72</v>
      </c>
      <c r="E1204" s="26" t="s">
        <v>357</v>
      </c>
      <c r="F1204" s="26">
        <v>240</v>
      </c>
      <c r="G1204" s="67"/>
      <c r="H1204" s="67"/>
      <c r="I1204" s="67">
        <f t="shared" si="213"/>
        <v>0</v>
      </c>
      <c r="J1204" s="67"/>
      <c r="K1204" s="67">
        <f t="shared" si="217"/>
        <v>0</v>
      </c>
      <c r="L1204" s="67"/>
      <c r="M1204" s="67">
        <f t="shared" si="218"/>
        <v>0</v>
      </c>
      <c r="N1204" s="67"/>
      <c r="O1204" s="67">
        <f t="shared" si="219"/>
        <v>0</v>
      </c>
    </row>
    <row r="1205" spans="1:15" ht="66" x14ac:dyDescent="0.2">
      <c r="A1205" s="64" t="str">
        <f ca="1">IF(ISERROR(MATCH(E1205,Код_КЦСР,0)),"",INDIRECT(ADDRESS(MATCH(E1205,Код_КЦСР,0)+1,2,,,"КЦСР")))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205" s="26">
        <v>811</v>
      </c>
      <c r="C1205" s="65" t="s">
        <v>78</v>
      </c>
      <c r="D1205" s="65" t="s">
        <v>72</v>
      </c>
      <c r="E1205" s="26" t="s">
        <v>362</v>
      </c>
      <c r="F1205" s="26"/>
      <c r="G1205" s="66">
        <f>G1206+G1210</f>
        <v>48217.100000000006</v>
      </c>
      <c r="H1205" s="66">
        <f>H1206+H1210</f>
        <v>0</v>
      </c>
      <c r="I1205" s="67">
        <f t="shared" si="213"/>
        <v>48217.100000000006</v>
      </c>
      <c r="J1205" s="66">
        <f>J1206+J1210+J1213</f>
        <v>393.3</v>
      </c>
      <c r="K1205" s="67">
        <f t="shared" si="217"/>
        <v>48610.400000000009</v>
      </c>
      <c r="L1205" s="66">
        <f>L1206+L1210+L1213</f>
        <v>8389</v>
      </c>
      <c r="M1205" s="67">
        <f t="shared" si="218"/>
        <v>56999.400000000009</v>
      </c>
      <c r="N1205" s="66">
        <f>N1206+N1210+N1213</f>
        <v>470.2</v>
      </c>
      <c r="O1205" s="67">
        <f t="shared" si="219"/>
        <v>57469.600000000006</v>
      </c>
    </row>
    <row r="1206" spans="1:15" ht="33" x14ac:dyDescent="0.2">
      <c r="A1206" s="64" t="str">
        <f ca="1">IF(ISERROR(MATCH(E1206,Код_КЦСР,0)),"",INDIRECT(ADDRESS(MATCH(E1206,Код_КЦСР,0)+1,2,,,"КЦСР")))</f>
        <v>Осуществление бюджетных инвестиций в объекты муниципальной собственности</v>
      </c>
      <c r="B1206" s="26">
        <v>811</v>
      </c>
      <c r="C1206" s="65" t="s">
        <v>78</v>
      </c>
      <c r="D1206" s="65" t="s">
        <v>72</v>
      </c>
      <c r="E1206" s="26" t="s">
        <v>363</v>
      </c>
      <c r="F1206" s="26"/>
      <c r="G1206" s="66">
        <f>G1207</f>
        <v>48217.100000000006</v>
      </c>
      <c r="H1206" s="66">
        <f>H1207</f>
        <v>0</v>
      </c>
      <c r="I1206" s="67">
        <f t="shared" si="213"/>
        <v>48217.100000000006</v>
      </c>
      <c r="J1206" s="66">
        <f>J1207</f>
        <v>0</v>
      </c>
      <c r="K1206" s="67">
        <f t="shared" si="217"/>
        <v>48217.100000000006</v>
      </c>
      <c r="L1206" s="66">
        <f>L1207</f>
        <v>8349</v>
      </c>
      <c r="M1206" s="67">
        <f t="shared" si="218"/>
        <v>56566.100000000006</v>
      </c>
      <c r="N1206" s="66">
        <f>N1207</f>
        <v>420.5</v>
      </c>
      <c r="O1206" s="67">
        <f t="shared" si="219"/>
        <v>56986.600000000006</v>
      </c>
    </row>
    <row r="1207" spans="1:15" x14ac:dyDescent="0.2">
      <c r="A1207" s="64" t="str">
        <f ca="1">IF(ISERROR(MATCH(E1207,Код_КЦСР,0)),"",INDIRECT(ADDRESS(MATCH(E1207,Код_КЦСР,0)+1,2,,,"КЦСР")))</f>
        <v>Строительство объектов сметной стоимостью до 100 млн. рублей</v>
      </c>
      <c r="B1207" s="26">
        <v>811</v>
      </c>
      <c r="C1207" s="65" t="s">
        <v>78</v>
      </c>
      <c r="D1207" s="65" t="s">
        <v>72</v>
      </c>
      <c r="E1207" s="26" t="s">
        <v>364</v>
      </c>
      <c r="F1207" s="26"/>
      <c r="G1207" s="66">
        <f t="shared" ref="G1207:N1208" si="224">G1208</f>
        <v>48217.100000000006</v>
      </c>
      <c r="H1207" s="66">
        <f t="shared" si="224"/>
        <v>0</v>
      </c>
      <c r="I1207" s="67">
        <f t="shared" si="213"/>
        <v>48217.100000000006</v>
      </c>
      <c r="J1207" s="66">
        <f t="shared" si="224"/>
        <v>0</v>
      </c>
      <c r="K1207" s="67">
        <f t="shared" si="217"/>
        <v>48217.100000000006</v>
      </c>
      <c r="L1207" s="66">
        <f t="shared" si="224"/>
        <v>8349</v>
      </c>
      <c r="M1207" s="67">
        <f t="shared" si="218"/>
        <v>56566.100000000006</v>
      </c>
      <c r="N1207" s="66">
        <f t="shared" si="224"/>
        <v>420.5</v>
      </c>
      <c r="O1207" s="67">
        <f t="shared" si="219"/>
        <v>56986.600000000006</v>
      </c>
    </row>
    <row r="1208" spans="1:15" ht="33" x14ac:dyDescent="0.2">
      <c r="A1208" s="64" t="str">
        <f ca="1">IF(ISERROR(MATCH(F1208,Код_КВР,0)),"",INDIRECT(ADDRESS(MATCH(F1208,Код_КВР,0)+1,2,,,"КВР")))</f>
        <v>Капитальные вложения в объекты государственной (муниципальной) собственности</v>
      </c>
      <c r="B1208" s="26">
        <v>811</v>
      </c>
      <c r="C1208" s="65" t="s">
        <v>78</v>
      </c>
      <c r="D1208" s="65" t="s">
        <v>72</v>
      </c>
      <c r="E1208" s="26" t="s">
        <v>364</v>
      </c>
      <c r="F1208" s="26">
        <v>400</v>
      </c>
      <c r="G1208" s="66">
        <f t="shared" si="224"/>
        <v>48217.100000000006</v>
      </c>
      <c r="H1208" s="66">
        <f t="shared" si="224"/>
        <v>0</v>
      </c>
      <c r="I1208" s="67">
        <f t="shared" si="213"/>
        <v>48217.100000000006</v>
      </c>
      <c r="J1208" s="66">
        <f t="shared" si="224"/>
        <v>0</v>
      </c>
      <c r="K1208" s="67">
        <f t="shared" si="217"/>
        <v>48217.100000000006</v>
      </c>
      <c r="L1208" s="66">
        <f t="shared" si="224"/>
        <v>8349</v>
      </c>
      <c r="M1208" s="67">
        <f t="shared" si="218"/>
        <v>56566.100000000006</v>
      </c>
      <c r="N1208" s="66">
        <f t="shared" si="224"/>
        <v>420.5</v>
      </c>
      <c r="O1208" s="67">
        <f t="shared" si="219"/>
        <v>56986.600000000006</v>
      </c>
    </row>
    <row r="1209" spans="1:15" x14ac:dyDescent="0.2">
      <c r="A1209" s="64" t="str">
        <f ca="1">IF(ISERROR(MATCH(F1209,Код_КВР,0)),"",INDIRECT(ADDRESS(MATCH(F1209,Код_КВР,0)+1,2,,,"КВР")))</f>
        <v>Бюджетные инвестиции</v>
      </c>
      <c r="B1209" s="26">
        <v>811</v>
      </c>
      <c r="C1209" s="65" t="s">
        <v>78</v>
      </c>
      <c r="D1209" s="65" t="s">
        <v>72</v>
      </c>
      <c r="E1209" s="26" t="s">
        <v>364</v>
      </c>
      <c r="F1209" s="26">
        <v>410</v>
      </c>
      <c r="G1209" s="66">
        <f>9576.3+10041.1+1840.6+12569.3+750+1250+1500+1500+480+880+1500+1500+300+2000+1500+1500-470.2</f>
        <v>48217.100000000006</v>
      </c>
      <c r="H1209" s="66"/>
      <c r="I1209" s="67">
        <f t="shared" si="213"/>
        <v>48217.100000000006</v>
      </c>
      <c r="J1209" s="66"/>
      <c r="K1209" s="67">
        <f t="shared" si="217"/>
        <v>48217.100000000006</v>
      </c>
      <c r="L1209" s="66">
        <f>3651+698+4000-723.4+723.4</f>
        <v>8349</v>
      </c>
      <c r="M1209" s="67">
        <f t="shared" si="218"/>
        <v>56566.100000000006</v>
      </c>
      <c r="N1209" s="66">
        <f>-40-9.7+470.2</f>
        <v>420.5</v>
      </c>
      <c r="O1209" s="67">
        <f t="shared" si="219"/>
        <v>56986.600000000006</v>
      </c>
    </row>
    <row r="1210" spans="1:15" hidden="1" x14ac:dyDescent="0.2">
      <c r="A1210" s="64" t="str">
        <f ca="1">IF(ISERROR(MATCH(E1210,Код_КЦСР,0)),"",INDIRECT(ADDRESS(MATCH(E1210,Код_КЦСР,0)+1,2,,,"КЦСР")))</f>
        <v>Капитальный ремонт объектов муниципальной собственности</v>
      </c>
      <c r="B1210" s="26">
        <v>811</v>
      </c>
      <c r="C1210" s="65" t="s">
        <v>78</v>
      </c>
      <c r="D1210" s="65" t="s">
        <v>72</v>
      </c>
      <c r="E1210" s="26" t="s">
        <v>366</v>
      </c>
      <c r="F1210" s="26"/>
      <c r="G1210" s="66">
        <f>G1211</f>
        <v>0</v>
      </c>
      <c r="H1210" s="66">
        <f>H1211</f>
        <v>0</v>
      </c>
      <c r="I1210" s="67">
        <f t="shared" si="213"/>
        <v>0</v>
      </c>
      <c r="J1210" s="66">
        <f>J1211</f>
        <v>0</v>
      </c>
      <c r="K1210" s="67">
        <f t="shared" si="217"/>
        <v>0</v>
      </c>
      <c r="L1210" s="66">
        <f>L1211</f>
        <v>0</v>
      </c>
      <c r="M1210" s="67">
        <f t="shared" si="218"/>
        <v>0</v>
      </c>
      <c r="N1210" s="66"/>
      <c r="O1210" s="67">
        <f t="shared" si="219"/>
        <v>0</v>
      </c>
    </row>
    <row r="1211" spans="1:15" ht="33" hidden="1" x14ac:dyDescent="0.2">
      <c r="A1211" s="64" t="str">
        <f ca="1">IF(ISERROR(MATCH(F1211,Код_КВР,0)),"",INDIRECT(ADDRESS(MATCH(F1211,Код_КВР,0)+1,2,,,"КВР")))</f>
        <v>Закупка товаров, работ и услуг для обеспечения государственных (муниципальных) нужд</v>
      </c>
      <c r="B1211" s="26">
        <v>811</v>
      </c>
      <c r="C1211" s="65" t="s">
        <v>78</v>
      </c>
      <c r="D1211" s="65" t="s">
        <v>72</v>
      </c>
      <c r="E1211" s="26" t="s">
        <v>366</v>
      </c>
      <c r="F1211" s="26">
        <v>200</v>
      </c>
      <c r="G1211" s="66">
        <f>G1212</f>
        <v>0</v>
      </c>
      <c r="H1211" s="66">
        <f>H1212</f>
        <v>0</v>
      </c>
      <c r="I1211" s="67">
        <f t="shared" si="213"/>
        <v>0</v>
      </c>
      <c r="J1211" s="66">
        <f>J1212</f>
        <v>0</v>
      </c>
      <c r="K1211" s="67">
        <f t="shared" si="217"/>
        <v>0</v>
      </c>
      <c r="L1211" s="66">
        <f>L1212</f>
        <v>0</v>
      </c>
      <c r="M1211" s="67">
        <f t="shared" si="218"/>
        <v>0</v>
      </c>
      <c r="N1211" s="66">
        <f>N1212</f>
        <v>0</v>
      </c>
      <c r="O1211" s="67">
        <f t="shared" si="219"/>
        <v>0</v>
      </c>
    </row>
    <row r="1212" spans="1:15" ht="33" hidden="1" x14ac:dyDescent="0.2">
      <c r="A1212" s="64" t="str">
        <f ca="1">IF(ISERROR(MATCH(F1212,Код_КВР,0)),"",INDIRECT(ADDRESS(MATCH(F1212,Код_КВР,0)+1,2,,,"КВР")))</f>
        <v>Иные закупки товаров, работ и услуг для обеспечения государственных (муниципальных) нужд</v>
      </c>
      <c r="B1212" s="26">
        <v>811</v>
      </c>
      <c r="C1212" s="65" t="s">
        <v>78</v>
      </c>
      <c r="D1212" s="65" t="s">
        <v>72</v>
      </c>
      <c r="E1212" s="26" t="s">
        <v>366</v>
      </c>
      <c r="F1212" s="26">
        <v>240</v>
      </c>
      <c r="G1212" s="66"/>
      <c r="H1212" s="66"/>
      <c r="I1212" s="67">
        <f t="shared" si="213"/>
        <v>0</v>
      </c>
      <c r="J1212" s="66"/>
      <c r="K1212" s="67">
        <f t="shared" si="217"/>
        <v>0</v>
      </c>
      <c r="L1212" s="66"/>
      <c r="M1212" s="67">
        <f t="shared" si="218"/>
        <v>0</v>
      </c>
      <c r="N1212" s="66"/>
      <c r="O1212" s="67">
        <f t="shared" si="219"/>
        <v>0</v>
      </c>
    </row>
    <row r="1213" spans="1:15" ht="23.25" customHeight="1" x14ac:dyDescent="0.2">
      <c r="A1213" s="64" t="str">
        <f ca="1">IF(ISERROR(MATCH(E1213,Код_КЦСР,0)),"",INDIRECT(ADDRESS(MATCH(E1213,Код_КЦСР,0)+1,2,,,"КЦСР")))</f>
        <v>Капитальный ремонт объектов муниципальной собственности</v>
      </c>
      <c r="B1213" s="26">
        <v>811</v>
      </c>
      <c r="C1213" s="65" t="s">
        <v>78</v>
      </c>
      <c r="D1213" s="65" t="s">
        <v>72</v>
      </c>
      <c r="E1213" s="26" t="s">
        <v>366</v>
      </c>
      <c r="F1213" s="26"/>
      <c r="G1213" s="66"/>
      <c r="H1213" s="66"/>
      <c r="I1213" s="67"/>
      <c r="J1213" s="66">
        <f>J1214</f>
        <v>393.3</v>
      </c>
      <c r="K1213" s="67">
        <f t="shared" si="217"/>
        <v>393.3</v>
      </c>
      <c r="L1213" s="66">
        <f>L1214</f>
        <v>40</v>
      </c>
      <c r="M1213" s="67">
        <f t="shared" si="218"/>
        <v>433.3</v>
      </c>
      <c r="N1213" s="66">
        <f>N1214</f>
        <v>49.7</v>
      </c>
      <c r="O1213" s="67">
        <f t="shared" si="219"/>
        <v>483</v>
      </c>
    </row>
    <row r="1214" spans="1:15" ht="42" customHeight="1" x14ac:dyDescent="0.2">
      <c r="A1214" s="64" t="str">
        <f ca="1">IF(ISERROR(MATCH(E1214,Код_КЦСР,0)),"",INDIRECT(ADDRESS(MATCH(E1214,Код_КЦСР,0)+1,2,,,"КЦСР")))</f>
        <v>Капитальный ремонт объектов муниципальной собственности, за счет средств городского бюджета</v>
      </c>
      <c r="B1214" s="26">
        <v>811</v>
      </c>
      <c r="C1214" s="65" t="s">
        <v>78</v>
      </c>
      <c r="D1214" s="65" t="s">
        <v>72</v>
      </c>
      <c r="E1214" s="26" t="s">
        <v>559</v>
      </c>
      <c r="F1214" s="26"/>
      <c r="G1214" s="66"/>
      <c r="H1214" s="66"/>
      <c r="I1214" s="67"/>
      <c r="J1214" s="66">
        <f>J1215</f>
        <v>393.3</v>
      </c>
      <c r="K1214" s="67">
        <f t="shared" si="217"/>
        <v>393.3</v>
      </c>
      <c r="L1214" s="66">
        <f>L1215</f>
        <v>40</v>
      </c>
      <c r="M1214" s="67">
        <f t="shared" si="218"/>
        <v>433.3</v>
      </c>
      <c r="N1214" s="66">
        <f>N1215</f>
        <v>49.7</v>
      </c>
      <c r="O1214" s="67">
        <f t="shared" si="219"/>
        <v>483</v>
      </c>
    </row>
    <row r="1215" spans="1:15" ht="39" customHeight="1" x14ac:dyDescent="0.2">
      <c r="A1215" s="64" t="str">
        <f ca="1">IF(ISERROR(MATCH(F1215,Код_КВР,0)),"",INDIRECT(ADDRESS(MATCH(F1215,Код_КВР,0)+1,2,,,"КВР")))</f>
        <v>Закупка товаров, работ и услуг для обеспечения государственных (муниципальных) нужд</v>
      </c>
      <c r="B1215" s="26">
        <v>811</v>
      </c>
      <c r="C1215" s="65" t="s">
        <v>78</v>
      </c>
      <c r="D1215" s="65" t="s">
        <v>72</v>
      </c>
      <c r="E1215" s="26" t="s">
        <v>559</v>
      </c>
      <c r="F1215" s="26">
        <v>200</v>
      </c>
      <c r="G1215" s="66"/>
      <c r="H1215" s="66"/>
      <c r="I1215" s="67"/>
      <c r="J1215" s="66">
        <f>J1216</f>
        <v>393.3</v>
      </c>
      <c r="K1215" s="67">
        <f t="shared" si="217"/>
        <v>393.3</v>
      </c>
      <c r="L1215" s="66">
        <f>L1216</f>
        <v>40</v>
      </c>
      <c r="M1215" s="67">
        <f t="shared" si="218"/>
        <v>433.3</v>
      </c>
      <c r="N1215" s="66">
        <f>N1216</f>
        <v>49.7</v>
      </c>
      <c r="O1215" s="67">
        <f t="shared" si="219"/>
        <v>483</v>
      </c>
    </row>
    <row r="1216" spans="1:15" ht="40.5" customHeight="1" x14ac:dyDescent="0.2">
      <c r="A1216" s="64" t="str">
        <f ca="1">IF(ISERROR(MATCH(F1216,Код_КВР,0)),"",INDIRECT(ADDRESS(MATCH(F1216,Код_КВР,0)+1,2,,,"КВР")))</f>
        <v>Иные закупки товаров, работ и услуг для обеспечения государственных (муниципальных) нужд</v>
      </c>
      <c r="B1216" s="26">
        <v>811</v>
      </c>
      <c r="C1216" s="65" t="s">
        <v>78</v>
      </c>
      <c r="D1216" s="65" t="s">
        <v>72</v>
      </c>
      <c r="E1216" s="26" t="s">
        <v>559</v>
      </c>
      <c r="F1216" s="26">
        <v>240</v>
      </c>
      <c r="G1216" s="66"/>
      <c r="H1216" s="66"/>
      <c r="I1216" s="67"/>
      <c r="J1216" s="66">
        <v>393.3</v>
      </c>
      <c r="K1216" s="67">
        <f t="shared" si="217"/>
        <v>393.3</v>
      </c>
      <c r="L1216" s="66">
        <v>40</v>
      </c>
      <c r="M1216" s="67">
        <f t="shared" si="218"/>
        <v>433.3</v>
      </c>
      <c r="N1216" s="66">
        <f>40+9.7</f>
        <v>49.7</v>
      </c>
      <c r="O1216" s="67">
        <f t="shared" si="219"/>
        <v>483</v>
      </c>
    </row>
    <row r="1217" spans="1:15" ht="21.75" customHeight="1" x14ac:dyDescent="0.2">
      <c r="A1217" s="64" t="str">
        <f ca="1">IF(ISERROR(MATCH(C1217,Код_Раздел,0)),"",INDIRECT(ADDRESS(MATCH(C1217,Код_Раздел,0)+1,2,,,"Раздел")))</f>
        <v>Образование</v>
      </c>
      <c r="B1217" s="26">
        <v>811</v>
      </c>
      <c r="C1217" s="65" t="s">
        <v>60</v>
      </c>
      <c r="D1217" s="65"/>
      <c r="E1217" s="26"/>
      <c r="F1217" s="26"/>
      <c r="G1217" s="66">
        <f>G1218+G1234+G1267+G1256</f>
        <v>1214928.8</v>
      </c>
      <c r="H1217" s="66">
        <f>H1218+H1234+H1267+H1256</f>
        <v>0</v>
      </c>
      <c r="I1217" s="67">
        <f t="shared" si="213"/>
        <v>1214928.8</v>
      </c>
      <c r="J1217" s="66">
        <f>J1218+J1234+J1267+J1256</f>
        <v>-81195.100000000006</v>
      </c>
      <c r="K1217" s="67">
        <f t="shared" si="217"/>
        <v>1133733.7</v>
      </c>
      <c r="L1217" s="66">
        <f>L1218+L1234+L1267+L1256</f>
        <v>27700.999999999996</v>
      </c>
      <c r="M1217" s="67">
        <f t="shared" si="218"/>
        <v>1161434.7</v>
      </c>
      <c r="N1217" s="66">
        <f>N1218+N1234+N1267+N1256</f>
        <v>-137760.6</v>
      </c>
      <c r="O1217" s="67">
        <f t="shared" si="219"/>
        <v>1023674.1</v>
      </c>
    </row>
    <row r="1218" spans="1:15" x14ac:dyDescent="0.2">
      <c r="A1218" s="64" t="s">
        <v>109</v>
      </c>
      <c r="B1218" s="26">
        <v>811</v>
      </c>
      <c r="C1218" s="65" t="s">
        <v>60</v>
      </c>
      <c r="D1218" s="65" t="s">
        <v>70</v>
      </c>
      <c r="E1218" s="26"/>
      <c r="F1218" s="26"/>
      <c r="G1218" s="66">
        <f>G1219</f>
        <v>86267.5</v>
      </c>
      <c r="H1218" s="66">
        <f>H1219</f>
        <v>0</v>
      </c>
      <c r="I1218" s="67">
        <f t="shared" ref="I1218:I1292" si="225">G1218+H1218</f>
        <v>86267.5</v>
      </c>
      <c r="J1218" s="66">
        <f>J1219</f>
        <v>0</v>
      </c>
      <c r="K1218" s="67">
        <f t="shared" si="217"/>
        <v>86267.5</v>
      </c>
      <c r="L1218" s="66">
        <f>L1219</f>
        <v>9322.1</v>
      </c>
      <c r="M1218" s="67">
        <f t="shared" si="218"/>
        <v>95589.6</v>
      </c>
      <c r="N1218" s="66">
        <f>N1219</f>
        <v>2235.8000000000002</v>
      </c>
      <c r="O1218" s="67">
        <f t="shared" si="219"/>
        <v>97825.400000000009</v>
      </c>
    </row>
    <row r="1219" spans="1:15" ht="66" x14ac:dyDescent="0.2">
      <c r="A1219" s="64" t="str">
        <f ca="1">IF(ISERROR(MATCH(E1219,Код_КЦСР,0)),"",INDIRECT(ADDRESS(MATCH(E1219,Код_КЦСР,0)+1,2,,,"КЦСР")))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219" s="26">
        <v>811</v>
      </c>
      <c r="C1219" s="65" t="s">
        <v>60</v>
      </c>
      <c r="D1219" s="65" t="s">
        <v>70</v>
      </c>
      <c r="E1219" s="26" t="s">
        <v>362</v>
      </c>
      <c r="F1219" s="26"/>
      <c r="G1219" s="66">
        <f>G1220</f>
        <v>86267.5</v>
      </c>
      <c r="H1219" s="66">
        <f>H1220</f>
        <v>0</v>
      </c>
      <c r="I1219" s="67">
        <f t="shared" si="225"/>
        <v>86267.5</v>
      </c>
      <c r="J1219" s="66">
        <f>J1220</f>
        <v>0</v>
      </c>
      <c r="K1219" s="67">
        <f t="shared" si="217"/>
        <v>86267.5</v>
      </c>
      <c r="L1219" s="66">
        <f>L1220</f>
        <v>9322.1</v>
      </c>
      <c r="M1219" s="67">
        <f t="shared" si="218"/>
        <v>95589.6</v>
      </c>
      <c r="N1219" s="66">
        <f>N1220</f>
        <v>2235.8000000000002</v>
      </c>
      <c r="O1219" s="67">
        <f t="shared" si="219"/>
        <v>97825.400000000009</v>
      </c>
    </row>
    <row r="1220" spans="1:15" ht="33" x14ac:dyDescent="0.2">
      <c r="A1220" s="64" t="str">
        <f ca="1">IF(ISERROR(MATCH(E1220,Код_КЦСР,0)),"",INDIRECT(ADDRESS(MATCH(E1220,Код_КЦСР,0)+1,2,,,"КЦСР")))</f>
        <v>Осуществление бюджетных инвестиций в объекты муниципальной собственности</v>
      </c>
      <c r="B1220" s="26">
        <v>811</v>
      </c>
      <c r="C1220" s="65" t="s">
        <v>60</v>
      </c>
      <c r="D1220" s="65" t="s">
        <v>70</v>
      </c>
      <c r="E1220" s="26" t="s">
        <v>363</v>
      </c>
      <c r="F1220" s="26"/>
      <c r="G1220" s="66">
        <f>G1231+G1228+G1221</f>
        <v>86267.5</v>
      </c>
      <c r="H1220" s="66">
        <f>H1231+H1228+H1221</f>
        <v>0</v>
      </c>
      <c r="I1220" s="67">
        <f t="shared" si="225"/>
        <v>86267.5</v>
      </c>
      <c r="J1220" s="66">
        <f>J1231+J1228+J1221</f>
        <v>0</v>
      </c>
      <c r="K1220" s="67">
        <f t="shared" si="217"/>
        <v>86267.5</v>
      </c>
      <c r="L1220" s="66">
        <f>L1231+L1228+L1221</f>
        <v>9322.1</v>
      </c>
      <c r="M1220" s="67">
        <f t="shared" si="218"/>
        <v>95589.6</v>
      </c>
      <c r="N1220" s="66">
        <f>N1231+N1228+N1221</f>
        <v>2235.8000000000002</v>
      </c>
      <c r="O1220" s="67">
        <f t="shared" si="219"/>
        <v>97825.400000000009</v>
      </c>
    </row>
    <row r="1221" spans="1:15" x14ac:dyDescent="0.2">
      <c r="A1221" s="64" t="str">
        <f ca="1">IF(ISERROR(MATCH(E1221,Код_КЦСР,0)),"",INDIRECT(ADDRESS(MATCH(E1221,Код_КЦСР,0)+1,2,,,"КЦСР")))</f>
        <v>Строительство объектов сметной стоимостью до 100 млн. рублей</v>
      </c>
      <c r="B1221" s="26">
        <v>811</v>
      </c>
      <c r="C1221" s="65" t="s">
        <v>60</v>
      </c>
      <c r="D1221" s="65" t="s">
        <v>70</v>
      </c>
      <c r="E1221" s="26" t="s">
        <v>364</v>
      </c>
      <c r="F1221" s="26"/>
      <c r="G1221" s="66">
        <f>G1223</f>
        <v>0</v>
      </c>
      <c r="H1221" s="66">
        <f>H1223</f>
        <v>0</v>
      </c>
      <c r="I1221" s="67">
        <f t="shared" si="225"/>
        <v>0</v>
      </c>
      <c r="J1221" s="66">
        <f>J1223</f>
        <v>0</v>
      </c>
      <c r="K1221" s="67">
        <f t="shared" si="217"/>
        <v>0</v>
      </c>
      <c r="L1221" s="66">
        <f>L1223</f>
        <v>0</v>
      </c>
      <c r="M1221" s="67">
        <f t="shared" si="218"/>
        <v>0</v>
      </c>
      <c r="N1221" s="66">
        <f>N1222+N1225</f>
        <v>2235.8000000000002</v>
      </c>
      <c r="O1221" s="67">
        <f t="shared" si="219"/>
        <v>2235.8000000000002</v>
      </c>
    </row>
    <row r="1222" spans="1:15" x14ac:dyDescent="0.2">
      <c r="A1222" s="64" t="str">
        <f ca="1">IF(ISERROR(MATCH(E1222,Код_КЦСР,0)),"",INDIRECT(ADDRESS(MATCH(E1222,Код_КЦСР,0)+1,2,,,"КЦСР")))</f>
        <v>Детский сад № 20 в 112 мкр.</v>
      </c>
      <c r="B1222" s="26">
        <v>811</v>
      </c>
      <c r="C1222" s="65" t="s">
        <v>60</v>
      </c>
      <c r="D1222" s="65" t="s">
        <v>70</v>
      </c>
      <c r="E1222" s="26" t="s">
        <v>736</v>
      </c>
      <c r="F1222" s="26"/>
      <c r="G1222" s="66"/>
      <c r="H1222" s="66"/>
      <c r="I1222" s="67"/>
      <c r="J1222" s="66"/>
      <c r="K1222" s="67"/>
      <c r="L1222" s="66"/>
      <c r="M1222" s="67"/>
      <c r="N1222" s="66">
        <f>N1223</f>
        <v>1247.3</v>
      </c>
      <c r="O1222" s="67">
        <f t="shared" si="219"/>
        <v>1247.3</v>
      </c>
    </row>
    <row r="1223" spans="1:15" ht="33" x14ac:dyDescent="0.2">
      <c r="A1223" s="64" t="str">
        <f ca="1">IF(ISERROR(MATCH(F1223,Код_КВР,0)),"",INDIRECT(ADDRESS(MATCH(F1223,Код_КВР,0)+1,2,,,"КВР")))</f>
        <v>Капитальные вложения в объекты государственной (муниципальной) собственности</v>
      </c>
      <c r="B1223" s="26">
        <v>811</v>
      </c>
      <c r="C1223" s="65" t="s">
        <v>60</v>
      </c>
      <c r="D1223" s="65" t="s">
        <v>70</v>
      </c>
      <c r="E1223" s="26" t="s">
        <v>736</v>
      </c>
      <c r="F1223" s="26">
        <v>400</v>
      </c>
      <c r="G1223" s="66">
        <f>G1224</f>
        <v>0</v>
      </c>
      <c r="H1223" s="66">
        <f>H1224</f>
        <v>0</v>
      </c>
      <c r="I1223" s="67">
        <f t="shared" si="225"/>
        <v>0</v>
      </c>
      <c r="J1223" s="66">
        <f>J1224</f>
        <v>0</v>
      </c>
      <c r="K1223" s="67">
        <f t="shared" si="217"/>
        <v>0</v>
      </c>
      <c r="L1223" s="66">
        <f>L1224</f>
        <v>0</v>
      </c>
      <c r="M1223" s="67">
        <f t="shared" si="218"/>
        <v>0</v>
      </c>
      <c r="N1223" s="66">
        <f>N1224</f>
        <v>1247.3</v>
      </c>
      <c r="O1223" s="67">
        <f t="shared" si="219"/>
        <v>1247.3</v>
      </c>
    </row>
    <row r="1224" spans="1:15" x14ac:dyDescent="0.2">
      <c r="A1224" s="64" t="str">
        <f ca="1">IF(ISERROR(MATCH(F1224,Код_КВР,0)),"",INDIRECT(ADDRESS(MATCH(F1224,Код_КВР,0)+1,2,,,"КВР")))</f>
        <v>Бюджетные инвестиции</v>
      </c>
      <c r="B1224" s="26">
        <v>811</v>
      </c>
      <c r="C1224" s="65" t="s">
        <v>60</v>
      </c>
      <c r="D1224" s="65" t="s">
        <v>70</v>
      </c>
      <c r="E1224" s="26" t="s">
        <v>736</v>
      </c>
      <c r="F1224" s="26">
        <v>410</v>
      </c>
      <c r="G1224" s="66"/>
      <c r="H1224" s="66"/>
      <c r="I1224" s="67">
        <f t="shared" si="225"/>
        <v>0</v>
      </c>
      <c r="J1224" s="66"/>
      <c r="K1224" s="67">
        <f t="shared" si="217"/>
        <v>0</v>
      </c>
      <c r="L1224" s="66"/>
      <c r="M1224" s="67">
        <f t="shared" si="218"/>
        <v>0</v>
      </c>
      <c r="N1224" s="66">
        <v>1247.3</v>
      </c>
      <c r="O1224" s="67">
        <f t="shared" si="219"/>
        <v>1247.3</v>
      </c>
    </row>
    <row r="1225" spans="1:15" x14ac:dyDescent="0.2">
      <c r="A1225" s="64" t="str">
        <f ca="1">IF(ISERROR(MATCH(E1225,Код_КЦСР,0)),"",INDIRECT(ADDRESS(MATCH(E1225,Код_КЦСР,0)+1,2,,,"КЦСР")))</f>
        <v>Детский сад на 420 мест в 144 мкр.</v>
      </c>
      <c r="B1225" s="26">
        <v>811</v>
      </c>
      <c r="C1225" s="65" t="s">
        <v>60</v>
      </c>
      <c r="D1225" s="65" t="s">
        <v>70</v>
      </c>
      <c r="E1225" s="26" t="s">
        <v>737</v>
      </c>
      <c r="F1225" s="26"/>
      <c r="G1225" s="66"/>
      <c r="H1225" s="66"/>
      <c r="I1225" s="67"/>
      <c r="J1225" s="66"/>
      <c r="K1225" s="67"/>
      <c r="L1225" s="66"/>
      <c r="M1225" s="67"/>
      <c r="N1225" s="66">
        <f>N1226</f>
        <v>988.5</v>
      </c>
      <c r="O1225" s="67">
        <f t="shared" si="219"/>
        <v>988.5</v>
      </c>
    </row>
    <row r="1226" spans="1:15" ht="33" x14ac:dyDescent="0.2">
      <c r="A1226" s="64" t="str">
        <f ca="1">IF(ISERROR(MATCH(F1226,Код_КВР,0)),"",INDIRECT(ADDRESS(MATCH(F1226,Код_КВР,0)+1,2,,,"КВР")))</f>
        <v>Капитальные вложения в объекты государственной (муниципальной) собственности</v>
      </c>
      <c r="B1226" s="26">
        <v>811</v>
      </c>
      <c r="C1226" s="65" t="s">
        <v>60</v>
      </c>
      <c r="D1226" s="65" t="s">
        <v>70</v>
      </c>
      <c r="E1226" s="26" t="s">
        <v>737</v>
      </c>
      <c r="F1226" s="26">
        <v>400</v>
      </c>
      <c r="G1226" s="66"/>
      <c r="H1226" s="66"/>
      <c r="I1226" s="67"/>
      <c r="J1226" s="66"/>
      <c r="K1226" s="67"/>
      <c r="L1226" s="66"/>
      <c r="M1226" s="67"/>
      <c r="N1226" s="66">
        <f>N1227</f>
        <v>988.5</v>
      </c>
      <c r="O1226" s="67">
        <f t="shared" si="219"/>
        <v>988.5</v>
      </c>
    </row>
    <row r="1227" spans="1:15" x14ac:dyDescent="0.2">
      <c r="A1227" s="64" t="str">
        <f ca="1">IF(ISERROR(MATCH(F1227,Код_КВР,0)),"",INDIRECT(ADDRESS(MATCH(F1227,Код_КВР,0)+1,2,,,"КВР")))</f>
        <v>Бюджетные инвестиции</v>
      </c>
      <c r="B1227" s="26">
        <v>811</v>
      </c>
      <c r="C1227" s="65" t="s">
        <v>60</v>
      </c>
      <c r="D1227" s="65" t="s">
        <v>70</v>
      </c>
      <c r="E1227" s="26" t="s">
        <v>737</v>
      </c>
      <c r="F1227" s="26">
        <v>410</v>
      </c>
      <c r="G1227" s="66"/>
      <c r="H1227" s="66"/>
      <c r="I1227" s="67"/>
      <c r="J1227" s="66"/>
      <c r="K1227" s="67"/>
      <c r="L1227" s="66"/>
      <c r="M1227" s="67"/>
      <c r="N1227" s="66">
        <v>988.5</v>
      </c>
      <c r="O1227" s="67">
        <f t="shared" si="219"/>
        <v>988.5</v>
      </c>
    </row>
    <row r="1228" spans="1:15" x14ac:dyDescent="0.2">
      <c r="A1228" s="64" t="str">
        <f ca="1">IF(ISERROR(MATCH(E1228,Код_КЦСР,0)),"",INDIRECT(ADDRESS(MATCH(E1228,Код_КЦСР,0)+1,2,,,"КЦСР")))</f>
        <v>Реконструкция зданий под детские сады, в рамках софинансирования</v>
      </c>
      <c r="B1228" s="26">
        <v>811</v>
      </c>
      <c r="C1228" s="65" t="s">
        <v>60</v>
      </c>
      <c r="D1228" s="65" t="s">
        <v>70</v>
      </c>
      <c r="E1228" s="26" t="s">
        <v>479</v>
      </c>
      <c r="F1228" s="26"/>
      <c r="G1228" s="66">
        <f>G1229</f>
        <v>46267.5</v>
      </c>
      <c r="H1228" s="66">
        <f>H1229</f>
        <v>0</v>
      </c>
      <c r="I1228" s="67">
        <f t="shared" si="225"/>
        <v>46267.5</v>
      </c>
      <c r="J1228" s="66">
        <f>J1229</f>
        <v>0</v>
      </c>
      <c r="K1228" s="67">
        <f t="shared" si="217"/>
        <v>46267.5</v>
      </c>
      <c r="L1228" s="66">
        <f>L1229</f>
        <v>9322.1</v>
      </c>
      <c r="M1228" s="67">
        <f t="shared" si="218"/>
        <v>55589.599999999999</v>
      </c>
      <c r="N1228" s="66">
        <f>N1229</f>
        <v>0</v>
      </c>
      <c r="O1228" s="67">
        <f t="shared" si="219"/>
        <v>55589.599999999999</v>
      </c>
    </row>
    <row r="1229" spans="1:15" ht="33" x14ac:dyDescent="0.2">
      <c r="A1229" s="64" t="str">
        <f ca="1">IF(ISERROR(MATCH(F1229,Код_КВР,0)),"",INDIRECT(ADDRESS(MATCH(F1229,Код_КВР,0)+1,2,,,"КВР")))</f>
        <v>Капитальные вложения в объекты государственной (муниципальной) собственности</v>
      </c>
      <c r="B1229" s="26">
        <v>811</v>
      </c>
      <c r="C1229" s="65" t="s">
        <v>60</v>
      </c>
      <c r="D1229" s="65" t="s">
        <v>70</v>
      </c>
      <c r="E1229" s="26" t="s">
        <v>479</v>
      </c>
      <c r="F1229" s="26">
        <v>400</v>
      </c>
      <c r="G1229" s="66">
        <f>G1230</f>
        <v>46267.5</v>
      </c>
      <c r="H1229" s="66">
        <f>H1230</f>
        <v>0</v>
      </c>
      <c r="I1229" s="67">
        <f t="shared" si="225"/>
        <v>46267.5</v>
      </c>
      <c r="J1229" s="66">
        <f>J1230</f>
        <v>0</v>
      </c>
      <c r="K1229" s="67">
        <f t="shared" si="217"/>
        <v>46267.5</v>
      </c>
      <c r="L1229" s="66">
        <f>L1230</f>
        <v>9322.1</v>
      </c>
      <c r="M1229" s="67">
        <f t="shared" si="218"/>
        <v>55589.599999999999</v>
      </c>
      <c r="N1229" s="66">
        <f>N1230</f>
        <v>0</v>
      </c>
      <c r="O1229" s="67">
        <f t="shared" si="219"/>
        <v>55589.599999999999</v>
      </c>
    </row>
    <row r="1230" spans="1:15" x14ac:dyDescent="0.2">
      <c r="A1230" s="64" t="str">
        <f ca="1">IF(ISERROR(MATCH(F1230,Код_КВР,0)),"",INDIRECT(ADDRESS(MATCH(F1230,Код_КВР,0)+1,2,,,"КВР")))</f>
        <v>Бюджетные инвестиции</v>
      </c>
      <c r="B1230" s="26">
        <v>811</v>
      </c>
      <c r="C1230" s="65" t="s">
        <v>60</v>
      </c>
      <c r="D1230" s="65" t="s">
        <v>70</v>
      </c>
      <c r="E1230" s="26" t="s">
        <v>479</v>
      </c>
      <c r="F1230" s="26">
        <v>410</v>
      </c>
      <c r="G1230" s="66">
        <f>9340.5+5910.5+15725+15291.5</f>
        <v>46267.5</v>
      </c>
      <c r="H1230" s="66"/>
      <c r="I1230" s="67">
        <f t="shared" si="225"/>
        <v>46267.5</v>
      </c>
      <c r="J1230" s="66"/>
      <c r="K1230" s="67">
        <f t="shared" si="217"/>
        <v>46267.5</v>
      </c>
      <c r="L1230" s="66">
        <v>9322.1</v>
      </c>
      <c r="M1230" s="67">
        <f t="shared" si="218"/>
        <v>55589.599999999999</v>
      </c>
      <c r="N1230" s="66"/>
      <c r="O1230" s="67">
        <f t="shared" si="219"/>
        <v>55589.599999999999</v>
      </c>
    </row>
    <row r="1231" spans="1:15" ht="53.25" customHeight="1" x14ac:dyDescent="0.2">
      <c r="A1231" s="64" t="str">
        <f ca="1">IF(ISERROR(MATCH(E1231,Код_КЦСР,0)),"",INDIRECT(ADDRESS(MATCH(E1231,Код_КЦСР,0)+1,2,,,"КЦСР")))</f>
        <v>Реализация мероприятий по строительству, реконструкции объектов социальной и коммунальной инфраструктур муниципальной собственности, за счет средств областного бюджета</v>
      </c>
      <c r="B1231" s="26">
        <v>811</v>
      </c>
      <c r="C1231" s="65" t="s">
        <v>60</v>
      </c>
      <c r="D1231" s="65" t="s">
        <v>70</v>
      </c>
      <c r="E1231" s="26" t="s">
        <v>480</v>
      </c>
      <c r="F1231" s="26"/>
      <c r="G1231" s="66">
        <f>G1232</f>
        <v>40000</v>
      </c>
      <c r="H1231" s="66">
        <f>H1232</f>
        <v>0</v>
      </c>
      <c r="I1231" s="67">
        <f t="shared" si="225"/>
        <v>40000</v>
      </c>
      <c r="J1231" s="66">
        <f>J1232</f>
        <v>0</v>
      </c>
      <c r="K1231" s="67">
        <f t="shared" si="217"/>
        <v>40000</v>
      </c>
      <c r="L1231" s="66">
        <f>L1232</f>
        <v>0</v>
      </c>
      <c r="M1231" s="67">
        <f t="shared" si="218"/>
        <v>40000</v>
      </c>
      <c r="N1231" s="66">
        <f>N1232</f>
        <v>0</v>
      </c>
      <c r="O1231" s="67">
        <f t="shared" si="219"/>
        <v>40000</v>
      </c>
    </row>
    <row r="1232" spans="1:15" ht="33" x14ac:dyDescent="0.2">
      <c r="A1232" s="64" t="str">
        <f ca="1">IF(ISERROR(MATCH(F1232,Код_КВР,0)),"",INDIRECT(ADDRESS(MATCH(F1232,Код_КВР,0)+1,2,,,"КВР")))</f>
        <v>Капитальные вложения в объекты государственной (муниципальной) собственности</v>
      </c>
      <c r="B1232" s="26">
        <v>811</v>
      </c>
      <c r="C1232" s="65" t="s">
        <v>60</v>
      </c>
      <c r="D1232" s="65" t="s">
        <v>70</v>
      </c>
      <c r="E1232" s="26" t="s">
        <v>480</v>
      </c>
      <c r="F1232" s="26">
        <v>400</v>
      </c>
      <c r="G1232" s="66">
        <f>G1233</f>
        <v>40000</v>
      </c>
      <c r="H1232" s="66">
        <f>H1233</f>
        <v>0</v>
      </c>
      <c r="I1232" s="67">
        <f t="shared" si="225"/>
        <v>40000</v>
      </c>
      <c r="J1232" s="66">
        <f>J1233</f>
        <v>0</v>
      </c>
      <c r="K1232" s="67">
        <f t="shared" si="217"/>
        <v>40000</v>
      </c>
      <c r="L1232" s="66">
        <f>L1233</f>
        <v>0</v>
      </c>
      <c r="M1232" s="67">
        <f t="shared" si="218"/>
        <v>40000</v>
      </c>
      <c r="N1232" s="66">
        <f>N1233</f>
        <v>0</v>
      </c>
      <c r="O1232" s="67">
        <f t="shared" si="219"/>
        <v>40000</v>
      </c>
    </row>
    <row r="1233" spans="1:15" x14ac:dyDescent="0.2">
      <c r="A1233" s="64" t="str">
        <f ca="1">IF(ISERROR(MATCH(F1233,Код_КВР,0)),"",INDIRECT(ADDRESS(MATCH(F1233,Код_КВР,0)+1,2,,,"КВР")))</f>
        <v>Бюджетные инвестиции</v>
      </c>
      <c r="B1233" s="26">
        <v>811</v>
      </c>
      <c r="C1233" s="65" t="s">
        <v>60</v>
      </c>
      <c r="D1233" s="65" t="s">
        <v>70</v>
      </c>
      <c r="E1233" s="26" t="s">
        <v>480</v>
      </c>
      <c r="F1233" s="26">
        <v>410</v>
      </c>
      <c r="G1233" s="66">
        <v>40000</v>
      </c>
      <c r="H1233" s="66"/>
      <c r="I1233" s="67">
        <f t="shared" si="225"/>
        <v>40000</v>
      </c>
      <c r="J1233" s="66"/>
      <c r="K1233" s="67">
        <f t="shared" si="217"/>
        <v>40000</v>
      </c>
      <c r="L1233" s="66"/>
      <c r="M1233" s="67">
        <f t="shared" si="218"/>
        <v>40000</v>
      </c>
      <c r="N1233" s="66"/>
      <c r="O1233" s="67">
        <f t="shared" si="219"/>
        <v>40000</v>
      </c>
    </row>
    <row r="1234" spans="1:15" x14ac:dyDescent="0.2">
      <c r="A1234" s="64" t="s">
        <v>102</v>
      </c>
      <c r="B1234" s="26">
        <v>811</v>
      </c>
      <c r="C1234" s="65" t="s">
        <v>60</v>
      </c>
      <c r="D1234" s="65" t="s">
        <v>71</v>
      </c>
      <c r="E1234" s="26"/>
      <c r="F1234" s="26"/>
      <c r="G1234" s="66">
        <f>G1235</f>
        <v>1081084.6000000001</v>
      </c>
      <c r="H1234" s="66">
        <f>H1235</f>
        <v>0</v>
      </c>
      <c r="I1234" s="67">
        <f t="shared" si="225"/>
        <v>1081084.6000000001</v>
      </c>
      <c r="J1234" s="66">
        <f>J1235</f>
        <v>-81195.100000000006</v>
      </c>
      <c r="K1234" s="67">
        <f t="shared" si="217"/>
        <v>999889.50000000012</v>
      </c>
      <c r="L1234" s="66">
        <f>L1235</f>
        <v>30332.1</v>
      </c>
      <c r="M1234" s="67">
        <f t="shared" si="218"/>
        <v>1030221.6000000001</v>
      </c>
      <c r="N1234" s="66">
        <f>N1235</f>
        <v>-139996.4</v>
      </c>
      <c r="O1234" s="67">
        <f t="shared" si="219"/>
        <v>890225.20000000007</v>
      </c>
    </row>
    <row r="1235" spans="1:15" ht="66" x14ac:dyDescent="0.2">
      <c r="A1235" s="64" t="str">
        <f ca="1">IF(ISERROR(MATCH(E1235,Код_КЦСР,0)),"",INDIRECT(ADDRESS(MATCH(E1235,Код_КЦСР,0)+1,2,,,"КЦСР")))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235" s="26">
        <v>811</v>
      </c>
      <c r="C1235" s="65" t="s">
        <v>60</v>
      </c>
      <c r="D1235" s="65" t="s">
        <v>71</v>
      </c>
      <c r="E1235" s="26" t="s">
        <v>362</v>
      </c>
      <c r="F1235" s="26"/>
      <c r="G1235" s="66">
        <f>G1236+G1246</f>
        <v>1081084.6000000001</v>
      </c>
      <c r="H1235" s="66">
        <f>H1236+H1246</f>
        <v>0</v>
      </c>
      <c r="I1235" s="67">
        <f t="shared" si="225"/>
        <v>1081084.6000000001</v>
      </c>
      <c r="J1235" s="66">
        <f>J1236+J1246</f>
        <v>-81195.100000000006</v>
      </c>
      <c r="K1235" s="67">
        <f t="shared" si="217"/>
        <v>999889.50000000012</v>
      </c>
      <c r="L1235" s="66">
        <f>L1236+L1246</f>
        <v>30332.1</v>
      </c>
      <c r="M1235" s="67">
        <f t="shared" si="218"/>
        <v>1030221.6000000001</v>
      </c>
      <c r="N1235" s="66">
        <f>N1236+N1246</f>
        <v>-139996.4</v>
      </c>
      <c r="O1235" s="67">
        <f t="shared" ref="O1235:O1298" si="226">M1235+N1235</f>
        <v>890225.20000000007</v>
      </c>
    </row>
    <row r="1236" spans="1:15" ht="33" x14ac:dyDescent="0.2">
      <c r="A1236" s="64" t="str">
        <f ca="1">IF(ISERROR(MATCH(E1236,Код_КЦСР,0)),"",INDIRECT(ADDRESS(MATCH(E1236,Код_КЦСР,0)+1,2,,,"КЦСР")))</f>
        <v>Осуществление бюджетных инвестиций в объекты муниципальной собственности</v>
      </c>
      <c r="B1236" s="26">
        <v>811</v>
      </c>
      <c r="C1236" s="65" t="s">
        <v>60</v>
      </c>
      <c r="D1236" s="65" t="s">
        <v>71</v>
      </c>
      <c r="E1236" s="26" t="s">
        <v>363</v>
      </c>
      <c r="F1236" s="26"/>
      <c r="G1236" s="66">
        <f>G1243+G1237+G1240</f>
        <v>1081084.6000000001</v>
      </c>
      <c r="H1236" s="66">
        <f>H1243+H1237+H1240</f>
        <v>0</v>
      </c>
      <c r="I1236" s="67">
        <f t="shared" si="225"/>
        <v>1081084.6000000001</v>
      </c>
      <c r="J1236" s="66">
        <f>J1243+J1237+J1240</f>
        <v>-81195.100000000006</v>
      </c>
      <c r="K1236" s="67">
        <f t="shared" si="217"/>
        <v>999889.50000000012</v>
      </c>
      <c r="L1236" s="66">
        <f>L1243+L1237+L1240</f>
        <v>0</v>
      </c>
      <c r="M1236" s="67">
        <f t="shared" si="218"/>
        <v>999889.50000000012</v>
      </c>
      <c r="N1236" s="66">
        <f>N1243+N1237+N1240</f>
        <v>-140000</v>
      </c>
      <c r="O1236" s="67">
        <f t="shared" si="226"/>
        <v>859889.50000000012</v>
      </c>
    </row>
    <row r="1237" spans="1:15" x14ac:dyDescent="0.2">
      <c r="A1237" s="64" t="str">
        <f ca="1">IF(ISERROR(MATCH(E1237,Код_КЦСР,0)),"",INDIRECT(ADDRESS(MATCH(E1237,Код_КЦСР,0)+1,2,,,"КЦСР")))</f>
        <v>Строительство объектов сметной стоимостью до 100 млн. рублей</v>
      </c>
      <c r="B1237" s="26">
        <v>811</v>
      </c>
      <c r="C1237" s="65" t="s">
        <v>60</v>
      </c>
      <c r="D1237" s="65" t="s">
        <v>71</v>
      </c>
      <c r="E1237" s="26" t="s">
        <v>364</v>
      </c>
      <c r="F1237" s="26"/>
      <c r="G1237" s="66">
        <f t="shared" ref="G1237:N1238" si="227">G1238</f>
        <v>8840</v>
      </c>
      <c r="H1237" s="66">
        <f t="shared" si="227"/>
        <v>0</v>
      </c>
      <c r="I1237" s="67">
        <f t="shared" si="225"/>
        <v>8840</v>
      </c>
      <c r="J1237" s="66">
        <f t="shared" si="227"/>
        <v>0</v>
      </c>
      <c r="K1237" s="67">
        <f t="shared" si="217"/>
        <v>8840</v>
      </c>
      <c r="L1237" s="66">
        <f t="shared" si="227"/>
        <v>0</v>
      </c>
      <c r="M1237" s="67">
        <f t="shared" si="218"/>
        <v>8840</v>
      </c>
      <c r="N1237" s="66">
        <f t="shared" si="227"/>
        <v>-2000</v>
      </c>
      <c r="O1237" s="67">
        <f t="shared" si="226"/>
        <v>6840</v>
      </c>
    </row>
    <row r="1238" spans="1:15" ht="33" x14ac:dyDescent="0.2">
      <c r="A1238" s="64" t="str">
        <f ca="1">IF(ISERROR(MATCH(F1238,Код_КВР,0)),"",INDIRECT(ADDRESS(MATCH(F1238,Код_КВР,0)+1,2,,,"КВР")))</f>
        <v>Капитальные вложения в объекты государственной (муниципальной) собственности</v>
      </c>
      <c r="B1238" s="26">
        <v>811</v>
      </c>
      <c r="C1238" s="65" t="s">
        <v>60</v>
      </c>
      <c r="D1238" s="65" t="s">
        <v>71</v>
      </c>
      <c r="E1238" s="26" t="s">
        <v>364</v>
      </c>
      <c r="F1238" s="26">
        <v>400</v>
      </c>
      <c r="G1238" s="66">
        <f t="shared" si="227"/>
        <v>8840</v>
      </c>
      <c r="H1238" s="66">
        <f t="shared" si="227"/>
        <v>0</v>
      </c>
      <c r="I1238" s="67">
        <f t="shared" si="225"/>
        <v>8840</v>
      </c>
      <c r="J1238" s="66">
        <f>J1239</f>
        <v>0</v>
      </c>
      <c r="K1238" s="67">
        <f t="shared" si="217"/>
        <v>8840</v>
      </c>
      <c r="L1238" s="66">
        <f>L1239</f>
        <v>0</v>
      </c>
      <c r="M1238" s="67">
        <f t="shared" si="218"/>
        <v>8840</v>
      </c>
      <c r="N1238" s="66">
        <f>N1239</f>
        <v>-2000</v>
      </c>
      <c r="O1238" s="67">
        <f t="shared" si="226"/>
        <v>6840</v>
      </c>
    </row>
    <row r="1239" spans="1:15" x14ac:dyDescent="0.2">
      <c r="A1239" s="64" t="str">
        <f ca="1">IF(ISERROR(MATCH(F1239,Код_КВР,0)),"",INDIRECT(ADDRESS(MATCH(F1239,Код_КВР,0)+1,2,,,"КВР")))</f>
        <v>Бюджетные инвестиции</v>
      </c>
      <c r="B1239" s="26">
        <v>811</v>
      </c>
      <c r="C1239" s="65" t="s">
        <v>60</v>
      </c>
      <c r="D1239" s="65" t="s">
        <v>71</v>
      </c>
      <c r="E1239" s="26" t="s">
        <v>364</v>
      </c>
      <c r="F1239" s="26">
        <v>410</v>
      </c>
      <c r="G1239" s="66">
        <f>640+2000+2000+2200+2000</f>
        <v>8840</v>
      </c>
      <c r="H1239" s="66"/>
      <c r="I1239" s="67">
        <f t="shared" si="225"/>
        <v>8840</v>
      </c>
      <c r="J1239" s="66"/>
      <c r="K1239" s="67">
        <f t="shared" si="217"/>
        <v>8840</v>
      </c>
      <c r="L1239" s="66"/>
      <c r="M1239" s="67">
        <f t="shared" si="218"/>
        <v>8840</v>
      </c>
      <c r="N1239" s="66">
        <v>-2000</v>
      </c>
      <c r="O1239" s="67">
        <f t="shared" si="226"/>
        <v>6840</v>
      </c>
    </row>
    <row r="1240" spans="1:15" ht="39.75" customHeight="1" x14ac:dyDescent="0.2">
      <c r="A1240" s="64" t="str">
        <f ca="1">IF(ISERROR(MATCH(E1240,Код_КЦСР,0)),"",INDIRECT(ADDRESS(MATCH(E1240,Код_КЦСР,0)+1,2,,,"КЦСР")))</f>
        <v>Строительство средней общеобразовательной школы № 24 в 112 мкр., в рамках софинансирования</v>
      </c>
      <c r="B1240" s="26">
        <v>811</v>
      </c>
      <c r="C1240" s="65" t="s">
        <v>60</v>
      </c>
      <c r="D1240" s="65" t="s">
        <v>71</v>
      </c>
      <c r="E1240" s="26" t="s">
        <v>647</v>
      </c>
      <c r="F1240" s="26"/>
      <c r="G1240" s="66">
        <f>G1241</f>
        <v>226461.1</v>
      </c>
      <c r="H1240" s="66">
        <f>H1241</f>
        <v>0</v>
      </c>
      <c r="I1240" s="67">
        <f t="shared" si="225"/>
        <v>226461.1</v>
      </c>
      <c r="J1240" s="66">
        <f>J1241</f>
        <v>-41142.9</v>
      </c>
      <c r="K1240" s="67">
        <f t="shared" si="217"/>
        <v>185318.2</v>
      </c>
      <c r="L1240" s="66">
        <f>L1241</f>
        <v>0</v>
      </c>
      <c r="M1240" s="67">
        <f t="shared" si="218"/>
        <v>185318.2</v>
      </c>
      <c r="N1240" s="66">
        <f>N1241</f>
        <v>-25804.9</v>
      </c>
      <c r="O1240" s="67">
        <f t="shared" si="226"/>
        <v>159513.30000000002</v>
      </c>
    </row>
    <row r="1241" spans="1:15" ht="33" x14ac:dyDescent="0.2">
      <c r="A1241" s="64" t="str">
        <f ca="1">IF(ISERROR(MATCH(F1241,Код_КВР,0)),"",INDIRECT(ADDRESS(MATCH(F1241,Код_КВР,0)+1,2,,,"КВР")))</f>
        <v>Капитальные вложения в объекты государственной (муниципальной) собственности</v>
      </c>
      <c r="B1241" s="26">
        <v>811</v>
      </c>
      <c r="C1241" s="65" t="s">
        <v>60</v>
      </c>
      <c r="D1241" s="65" t="s">
        <v>71</v>
      </c>
      <c r="E1241" s="26" t="s">
        <v>647</v>
      </c>
      <c r="F1241" s="26">
        <v>400</v>
      </c>
      <c r="G1241" s="66">
        <f>G1242</f>
        <v>226461.1</v>
      </c>
      <c r="H1241" s="66">
        <f>H1242</f>
        <v>0</v>
      </c>
      <c r="I1241" s="67">
        <f t="shared" si="225"/>
        <v>226461.1</v>
      </c>
      <c r="J1241" s="66">
        <f>J1242</f>
        <v>-41142.9</v>
      </c>
      <c r="K1241" s="67">
        <f t="shared" si="217"/>
        <v>185318.2</v>
      </c>
      <c r="L1241" s="66">
        <f>L1242</f>
        <v>0</v>
      </c>
      <c r="M1241" s="67">
        <f t="shared" si="218"/>
        <v>185318.2</v>
      </c>
      <c r="N1241" s="66">
        <f>N1242</f>
        <v>-25804.9</v>
      </c>
      <c r="O1241" s="67">
        <f t="shared" si="226"/>
        <v>159513.30000000002</v>
      </c>
    </row>
    <row r="1242" spans="1:15" x14ac:dyDescent="0.2">
      <c r="A1242" s="64" t="str">
        <f ca="1">IF(ISERROR(MATCH(F1242,Код_КВР,0)),"",INDIRECT(ADDRESS(MATCH(F1242,Код_КВР,0)+1,2,,,"КВР")))</f>
        <v>Бюджетные инвестиции</v>
      </c>
      <c r="B1242" s="26">
        <v>811</v>
      </c>
      <c r="C1242" s="65" t="s">
        <v>60</v>
      </c>
      <c r="D1242" s="65" t="s">
        <v>71</v>
      </c>
      <c r="E1242" s="26" t="s">
        <v>647</v>
      </c>
      <c r="F1242" s="26">
        <v>410</v>
      </c>
      <c r="G1242" s="66">
        <v>226461.1</v>
      </c>
      <c r="H1242" s="66"/>
      <c r="I1242" s="67">
        <f t="shared" si="225"/>
        <v>226461.1</v>
      </c>
      <c r="J1242" s="66">
        <v>-41142.9</v>
      </c>
      <c r="K1242" s="67">
        <f t="shared" si="217"/>
        <v>185318.2</v>
      </c>
      <c r="L1242" s="66"/>
      <c r="M1242" s="67">
        <f t="shared" si="218"/>
        <v>185318.2</v>
      </c>
      <c r="N1242" s="66">
        <v>-25804.9</v>
      </c>
      <c r="O1242" s="67">
        <f t="shared" si="226"/>
        <v>159513.30000000002</v>
      </c>
    </row>
    <row r="1243" spans="1:15" ht="40.5" customHeight="1" x14ac:dyDescent="0.2">
      <c r="A1243" s="52" t="str">
        <f ca="1">IF(ISERROR(MATCH(E1243,Код_КЦСР,0)),"",INDIRECT(ADDRESS(MATCH(E1243,Код_КЦСР,0)+1,2,,,"КЦСР")))</f>
        <v>Реализация мероприятий по строительству зданий, пристроя к зданиям общеобразовательных организаций, за счет средств вышестоящих бюджетов</v>
      </c>
      <c r="B1243" s="25">
        <v>811</v>
      </c>
      <c r="C1243" s="87" t="s">
        <v>60</v>
      </c>
      <c r="D1243" s="87" t="s">
        <v>71</v>
      </c>
      <c r="E1243" s="25" t="s">
        <v>621</v>
      </c>
      <c r="F1243" s="25"/>
      <c r="G1243" s="88">
        <f>G1244</f>
        <v>845783.5</v>
      </c>
      <c r="H1243" s="88">
        <f>H1244</f>
        <v>0</v>
      </c>
      <c r="I1243" s="67">
        <f t="shared" si="225"/>
        <v>845783.5</v>
      </c>
      <c r="J1243" s="88">
        <f>J1244</f>
        <v>-40052.200000000004</v>
      </c>
      <c r="K1243" s="67">
        <f t="shared" ref="K1243:K1313" si="228">I1243+J1243</f>
        <v>805731.3</v>
      </c>
      <c r="L1243" s="88">
        <f>L1244</f>
        <v>0</v>
      </c>
      <c r="M1243" s="67">
        <f t="shared" ref="M1243:M1313" si="229">K1243+L1243</f>
        <v>805731.3</v>
      </c>
      <c r="N1243" s="88">
        <f>N1244</f>
        <v>-112195.1</v>
      </c>
      <c r="O1243" s="67">
        <f t="shared" si="226"/>
        <v>693536.20000000007</v>
      </c>
    </row>
    <row r="1244" spans="1:15" ht="33" x14ac:dyDescent="0.2">
      <c r="A1244" s="52" t="str">
        <f ca="1">IF(ISERROR(MATCH(F1244,Код_КВР,0)),"",INDIRECT(ADDRESS(MATCH(F1244,Код_КВР,0)+1,2,,,"КВР")))</f>
        <v>Капитальные вложения в объекты государственной (муниципальной) собственности</v>
      </c>
      <c r="B1244" s="25">
        <v>811</v>
      </c>
      <c r="C1244" s="87" t="s">
        <v>60</v>
      </c>
      <c r="D1244" s="87" t="s">
        <v>71</v>
      </c>
      <c r="E1244" s="25" t="s">
        <v>621</v>
      </c>
      <c r="F1244" s="25">
        <v>400</v>
      </c>
      <c r="G1244" s="88">
        <f>G1245</f>
        <v>845783.5</v>
      </c>
      <c r="H1244" s="88">
        <f>H1245</f>
        <v>0</v>
      </c>
      <c r="I1244" s="67">
        <f t="shared" si="225"/>
        <v>845783.5</v>
      </c>
      <c r="J1244" s="88">
        <f>J1245</f>
        <v>-40052.200000000004</v>
      </c>
      <c r="K1244" s="67">
        <f t="shared" si="228"/>
        <v>805731.3</v>
      </c>
      <c r="L1244" s="88">
        <f>L1245</f>
        <v>0</v>
      </c>
      <c r="M1244" s="67">
        <f t="shared" si="229"/>
        <v>805731.3</v>
      </c>
      <c r="N1244" s="88">
        <f>N1245</f>
        <v>-112195.1</v>
      </c>
      <c r="O1244" s="67">
        <f t="shared" si="226"/>
        <v>693536.20000000007</v>
      </c>
    </row>
    <row r="1245" spans="1:15" x14ac:dyDescent="0.2">
      <c r="A1245" s="52" t="str">
        <f ca="1">IF(ISERROR(MATCH(F1245,Код_КВР,0)),"",INDIRECT(ADDRESS(MATCH(F1245,Код_КВР,0)+1,2,,,"КВР")))</f>
        <v>Бюджетные инвестиции</v>
      </c>
      <c r="B1245" s="25">
        <v>811</v>
      </c>
      <c r="C1245" s="87" t="s">
        <v>60</v>
      </c>
      <c r="D1245" s="87" t="s">
        <v>71</v>
      </c>
      <c r="E1245" s="25" t="s">
        <v>621</v>
      </c>
      <c r="F1245" s="25">
        <v>410</v>
      </c>
      <c r="G1245" s="88">
        <v>845783.5</v>
      </c>
      <c r="H1245" s="88"/>
      <c r="I1245" s="67">
        <f t="shared" si="225"/>
        <v>845783.5</v>
      </c>
      <c r="J1245" s="88">
        <f>-41142.9+1090.7</f>
        <v>-40052.200000000004</v>
      </c>
      <c r="K1245" s="67">
        <f t="shared" si="228"/>
        <v>805731.3</v>
      </c>
      <c r="L1245" s="88"/>
      <c r="M1245" s="67">
        <f t="shared" si="229"/>
        <v>805731.3</v>
      </c>
      <c r="N1245" s="88">
        <f>-25804.9-86390.2</f>
        <v>-112195.1</v>
      </c>
      <c r="O1245" s="67">
        <f t="shared" si="226"/>
        <v>693536.20000000007</v>
      </c>
    </row>
    <row r="1246" spans="1:15" x14ac:dyDescent="0.2">
      <c r="A1246" s="64" t="str">
        <f ca="1">IF(ISERROR(MATCH(E1246,Код_КЦСР,0)),"",INDIRECT(ADDRESS(MATCH(E1246,Код_КЦСР,0)+1,2,,,"КЦСР")))</f>
        <v>Капитальный ремонт объектов муниципальной собственности</v>
      </c>
      <c r="B1246" s="26">
        <v>811</v>
      </c>
      <c r="C1246" s="65" t="s">
        <v>60</v>
      </c>
      <c r="D1246" s="65" t="s">
        <v>71</v>
      </c>
      <c r="E1246" s="26" t="s">
        <v>366</v>
      </c>
      <c r="F1246" s="26"/>
      <c r="G1246" s="66">
        <f>G1248</f>
        <v>0</v>
      </c>
      <c r="H1246" s="66">
        <f>H1248</f>
        <v>0</v>
      </c>
      <c r="I1246" s="67">
        <f t="shared" si="225"/>
        <v>0</v>
      </c>
      <c r="J1246" s="66">
        <f>J1248</f>
        <v>0</v>
      </c>
      <c r="K1246" s="67">
        <f t="shared" si="228"/>
        <v>0</v>
      </c>
      <c r="L1246" s="66">
        <f>L1247+L1250+L1253</f>
        <v>30332.1</v>
      </c>
      <c r="M1246" s="67">
        <f t="shared" si="229"/>
        <v>30332.1</v>
      </c>
      <c r="N1246" s="66">
        <f>N1247+N1250+N1253</f>
        <v>3.6</v>
      </c>
      <c r="O1246" s="67">
        <f t="shared" si="226"/>
        <v>30335.699999999997</v>
      </c>
    </row>
    <row r="1247" spans="1:15" ht="32.25" customHeight="1" x14ac:dyDescent="0.2">
      <c r="A1247" s="64" t="str">
        <f ca="1">IF(ISERROR(MATCH(E1247,Код_КЦСР,0)),"",INDIRECT(ADDRESS(MATCH(E1247,Код_КЦСР,0)+1,2,,,"КЦСР")))</f>
        <v>Капитальный ремонт объектов муниципальной собственности, за счет средств городского бюджета</v>
      </c>
      <c r="B1247" s="26">
        <v>811</v>
      </c>
      <c r="C1247" s="65" t="s">
        <v>60</v>
      </c>
      <c r="D1247" s="65" t="s">
        <v>71</v>
      </c>
      <c r="E1247" s="26" t="s">
        <v>559</v>
      </c>
      <c r="F1247" s="26"/>
      <c r="G1247" s="66"/>
      <c r="H1247" s="66"/>
      <c r="I1247" s="67"/>
      <c r="J1247" s="66"/>
      <c r="K1247" s="67"/>
      <c r="L1247" s="66">
        <f>L1248</f>
        <v>2027.7</v>
      </c>
      <c r="M1247" s="67">
        <f t="shared" si="229"/>
        <v>2027.7</v>
      </c>
      <c r="N1247" s="66">
        <f>N1248</f>
        <v>0</v>
      </c>
      <c r="O1247" s="67">
        <f t="shared" si="226"/>
        <v>2027.7</v>
      </c>
    </row>
    <row r="1248" spans="1:15" ht="33" x14ac:dyDescent="0.2">
      <c r="A1248" s="64" t="str">
        <f ca="1">IF(ISERROR(MATCH(F1248,Код_КВР,0)),"",INDIRECT(ADDRESS(MATCH(F1248,Код_КВР,0)+1,2,,,"КВР")))</f>
        <v>Закупка товаров, работ и услуг для обеспечения государственных (муниципальных) нужд</v>
      </c>
      <c r="B1248" s="26">
        <v>811</v>
      </c>
      <c r="C1248" s="65" t="s">
        <v>60</v>
      </c>
      <c r="D1248" s="65" t="s">
        <v>71</v>
      </c>
      <c r="E1248" s="26" t="s">
        <v>559</v>
      </c>
      <c r="F1248" s="26">
        <v>200</v>
      </c>
      <c r="G1248" s="66">
        <f>G1249</f>
        <v>0</v>
      </c>
      <c r="H1248" s="66">
        <f>H1249</f>
        <v>0</v>
      </c>
      <c r="I1248" s="67">
        <f t="shared" si="225"/>
        <v>0</v>
      </c>
      <c r="J1248" s="66">
        <f>J1249</f>
        <v>0</v>
      </c>
      <c r="K1248" s="67">
        <f t="shared" si="228"/>
        <v>0</v>
      </c>
      <c r="L1248" s="66">
        <f>L1249</f>
        <v>2027.7</v>
      </c>
      <c r="M1248" s="67">
        <f t="shared" si="229"/>
        <v>2027.7</v>
      </c>
      <c r="N1248" s="66">
        <f>N1249</f>
        <v>0</v>
      </c>
      <c r="O1248" s="67">
        <f t="shared" si="226"/>
        <v>2027.7</v>
      </c>
    </row>
    <row r="1249" spans="1:15" ht="33" x14ac:dyDescent="0.2">
      <c r="A1249" s="64" t="str">
        <f ca="1">IF(ISERROR(MATCH(F1249,Код_КВР,0)),"",INDIRECT(ADDRESS(MATCH(F1249,Код_КВР,0)+1,2,,,"КВР")))</f>
        <v>Иные закупки товаров, работ и услуг для обеспечения государственных (муниципальных) нужд</v>
      </c>
      <c r="B1249" s="26">
        <v>811</v>
      </c>
      <c r="C1249" s="65" t="s">
        <v>60</v>
      </c>
      <c r="D1249" s="65" t="s">
        <v>71</v>
      </c>
      <c r="E1249" s="26" t="s">
        <v>559</v>
      </c>
      <c r="F1249" s="26">
        <v>240</v>
      </c>
      <c r="G1249" s="66"/>
      <c r="H1249" s="66"/>
      <c r="I1249" s="67">
        <f t="shared" si="225"/>
        <v>0</v>
      </c>
      <c r="J1249" s="66"/>
      <c r="K1249" s="67">
        <f t="shared" si="228"/>
        <v>0</v>
      </c>
      <c r="L1249" s="66">
        <v>2027.7</v>
      </c>
      <c r="M1249" s="67">
        <f t="shared" si="229"/>
        <v>2027.7</v>
      </c>
      <c r="N1249" s="66"/>
      <c r="O1249" s="67">
        <f t="shared" si="226"/>
        <v>2027.7</v>
      </c>
    </row>
    <row r="1250" spans="1:15" ht="33" x14ac:dyDescent="0.2">
      <c r="A1250" s="64" t="str">
        <f ca="1">IF(ISERROR(MATCH(E1250,Код_КЦСР,0)),"",INDIRECT(ADDRESS(MATCH(E1250,Код_КЦСР,0)+1,2,,,"КЦСР")))</f>
        <v>Капитальный ремонт объектов социальной и коммунальной инфраструктуры муниципальной собственности, за счет средств областного бюджета</v>
      </c>
      <c r="B1250" s="26">
        <v>811</v>
      </c>
      <c r="C1250" s="65" t="s">
        <v>60</v>
      </c>
      <c r="D1250" s="65" t="s">
        <v>71</v>
      </c>
      <c r="E1250" s="26" t="s">
        <v>702</v>
      </c>
      <c r="F1250" s="26"/>
      <c r="G1250" s="66"/>
      <c r="H1250" s="66"/>
      <c r="I1250" s="67"/>
      <c r="J1250" s="66"/>
      <c r="K1250" s="67"/>
      <c r="L1250" s="66">
        <f>L1251</f>
        <v>14127.9</v>
      </c>
      <c r="M1250" s="67">
        <f t="shared" si="229"/>
        <v>14127.9</v>
      </c>
      <c r="N1250" s="66">
        <f>N1251</f>
        <v>0</v>
      </c>
      <c r="O1250" s="67">
        <f t="shared" si="226"/>
        <v>14127.9</v>
      </c>
    </row>
    <row r="1251" spans="1:15" ht="33" x14ac:dyDescent="0.2">
      <c r="A1251" s="64" t="str">
        <f ca="1">IF(ISERROR(MATCH(F1251,Код_КВР,0)),"",INDIRECT(ADDRESS(MATCH(F1251,Код_КВР,0)+1,2,,,"КВР")))</f>
        <v>Закупка товаров, работ и услуг для обеспечения государственных (муниципальных) нужд</v>
      </c>
      <c r="B1251" s="26">
        <v>811</v>
      </c>
      <c r="C1251" s="65" t="s">
        <v>60</v>
      </c>
      <c r="D1251" s="65" t="s">
        <v>71</v>
      </c>
      <c r="E1251" s="26" t="s">
        <v>702</v>
      </c>
      <c r="F1251" s="26">
        <v>200</v>
      </c>
      <c r="G1251" s="66"/>
      <c r="H1251" s="66"/>
      <c r="I1251" s="67"/>
      <c r="J1251" s="66"/>
      <c r="K1251" s="67"/>
      <c r="L1251" s="66">
        <f>L1252</f>
        <v>14127.9</v>
      </c>
      <c r="M1251" s="67">
        <f t="shared" si="229"/>
        <v>14127.9</v>
      </c>
      <c r="N1251" s="66">
        <f>N1252</f>
        <v>0</v>
      </c>
      <c r="O1251" s="67">
        <f t="shared" si="226"/>
        <v>14127.9</v>
      </c>
    </row>
    <row r="1252" spans="1:15" ht="33" x14ac:dyDescent="0.2">
      <c r="A1252" s="64" t="str">
        <f ca="1">IF(ISERROR(MATCH(F1252,Код_КВР,0)),"",INDIRECT(ADDRESS(MATCH(F1252,Код_КВР,0)+1,2,,,"КВР")))</f>
        <v>Иные закупки товаров, работ и услуг для обеспечения государственных (муниципальных) нужд</v>
      </c>
      <c r="B1252" s="26">
        <v>811</v>
      </c>
      <c r="C1252" s="65" t="s">
        <v>60</v>
      </c>
      <c r="D1252" s="65" t="s">
        <v>71</v>
      </c>
      <c r="E1252" s="26" t="s">
        <v>702</v>
      </c>
      <c r="F1252" s="26">
        <v>240</v>
      </c>
      <c r="G1252" s="66"/>
      <c r="H1252" s="66"/>
      <c r="I1252" s="67"/>
      <c r="J1252" s="66"/>
      <c r="K1252" s="67"/>
      <c r="L1252" s="66">
        <v>14127.9</v>
      </c>
      <c r="M1252" s="67">
        <f t="shared" si="229"/>
        <v>14127.9</v>
      </c>
      <c r="N1252" s="66"/>
      <c r="O1252" s="67">
        <f t="shared" si="226"/>
        <v>14127.9</v>
      </c>
    </row>
    <row r="1253" spans="1:15" ht="33" x14ac:dyDescent="0.2">
      <c r="A1253" s="64" t="str">
        <f ca="1">IF(ISERROR(MATCH(E1253,Код_КЦСР,0)),"",INDIRECT(ADDRESS(MATCH(E1253,Код_КЦСР,0)+1,2,,,"КЦСР")))</f>
        <v>Капитальный ремонт объектов социальной и коммунальной инфраструктуры муниципальной собственности, в рамках софинансирования</v>
      </c>
      <c r="B1253" s="26">
        <v>811</v>
      </c>
      <c r="C1253" s="65" t="s">
        <v>60</v>
      </c>
      <c r="D1253" s="65" t="s">
        <v>71</v>
      </c>
      <c r="E1253" s="26" t="s">
        <v>704</v>
      </c>
      <c r="F1253" s="26"/>
      <c r="G1253" s="66"/>
      <c r="H1253" s="66"/>
      <c r="I1253" s="67"/>
      <c r="J1253" s="66"/>
      <c r="K1253" s="67"/>
      <c r="L1253" s="66">
        <f>L1254</f>
        <v>14176.5</v>
      </c>
      <c r="M1253" s="67">
        <f t="shared" si="229"/>
        <v>14176.5</v>
      </c>
      <c r="N1253" s="66">
        <f>N1254</f>
        <v>3.6</v>
      </c>
      <c r="O1253" s="67">
        <f t="shared" si="226"/>
        <v>14180.1</v>
      </c>
    </row>
    <row r="1254" spans="1:15" ht="33" x14ac:dyDescent="0.2">
      <c r="A1254" s="64" t="str">
        <f ca="1">IF(ISERROR(MATCH(F1254,Код_КВР,0)),"",INDIRECT(ADDRESS(MATCH(F1254,Код_КВР,0)+1,2,,,"КВР")))</f>
        <v>Закупка товаров, работ и услуг для обеспечения государственных (муниципальных) нужд</v>
      </c>
      <c r="B1254" s="26">
        <v>811</v>
      </c>
      <c r="C1254" s="65" t="s">
        <v>60</v>
      </c>
      <c r="D1254" s="65" t="s">
        <v>71</v>
      </c>
      <c r="E1254" s="26" t="s">
        <v>704</v>
      </c>
      <c r="F1254" s="26">
        <v>200</v>
      </c>
      <c r="G1254" s="66"/>
      <c r="H1254" s="66"/>
      <c r="I1254" s="67"/>
      <c r="J1254" s="66"/>
      <c r="K1254" s="67"/>
      <c r="L1254" s="66">
        <f>L1255</f>
        <v>14176.5</v>
      </c>
      <c r="M1254" s="67">
        <f t="shared" si="229"/>
        <v>14176.5</v>
      </c>
      <c r="N1254" s="66">
        <f>N1255</f>
        <v>3.6</v>
      </c>
      <c r="O1254" s="67">
        <f t="shared" si="226"/>
        <v>14180.1</v>
      </c>
    </row>
    <row r="1255" spans="1:15" ht="33" x14ac:dyDescent="0.2">
      <c r="A1255" s="64" t="str">
        <f ca="1">IF(ISERROR(MATCH(F1255,Код_КВР,0)),"",INDIRECT(ADDRESS(MATCH(F1255,Код_КВР,0)+1,2,,,"КВР")))</f>
        <v>Иные закупки товаров, работ и услуг для обеспечения государственных (муниципальных) нужд</v>
      </c>
      <c r="B1255" s="26">
        <v>811</v>
      </c>
      <c r="C1255" s="65" t="s">
        <v>60</v>
      </c>
      <c r="D1255" s="65" t="s">
        <v>71</v>
      </c>
      <c r="E1255" s="26" t="s">
        <v>704</v>
      </c>
      <c r="F1255" s="26">
        <v>240</v>
      </c>
      <c r="G1255" s="66"/>
      <c r="H1255" s="66"/>
      <c r="I1255" s="67"/>
      <c r="J1255" s="66"/>
      <c r="K1255" s="67"/>
      <c r="L1255" s="66">
        <v>14176.5</v>
      </c>
      <c r="M1255" s="67">
        <f t="shared" si="229"/>
        <v>14176.5</v>
      </c>
      <c r="N1255" s="66">
        <v>3.6</v>
      </c>
      <c r="O1255" s="67">
        <f t="shared" si="226"/>
        <v>14180.1</v>
      </c>
    </row>
    <row r="1256" spans="1:15" x14ac:dyDescent="0.2">
      <c r="A1256" s="74" t="s">
        <v>465</v>
      </c>
      <c r="B1256" s="26">
        <v>811</v>
      </c>
      <c r="C1256" s="65" t="s">
        <v>60</v>
      </c>
      <c r="D1256" s="65" t="s">
        <v>72</v>
      </c>
      <c r="E1256" s="26"/>
      <c r="F1256" s="26"/>
      <c r="G1256" s="66">
        <f>G1257+G1262</f>
        <v>47523.199999999997</v>
      </c>
      <c r="H1256" s="66">
        <f>H1257+H1262</f>
        <v>0</v>
      </c>
      <c r="I1256" s="67">
        <f t="shared" si="225"/>
        <v>47523.199999999997</v>
      </c>
      <c r="J1256" s="66">
        <f>J1257+J1262</f>
        <v>0</v>
      </c>
      <c r="K1256" s="67">
        <f t="shared" si="228"/>
        <v>47523.199999999997</v>
      </c>
      <c r="L1256" s="66">
        <f>L1257+L1262</f>
        <v>-11953.2</v>
      </c>
      <c r="M1256" s="67">
        <f t="shared" si="229"/>
        <v>35570</v>
      </c>
      <c r="N1256" s="66">
        <f>N1257+N1262</f>
        <v>0</v>
      </c>
      <c r="O1256" s="67">
        <f t="shared" si="226"/>
        <v>35570</v>
      </c>
    </row>
    <row r="1257" spans="1:15" x14ac:dyDescent="0.2">
      <c r="A1257" s="64" t="str">
        <f ca="1">IF(ISERROR(MATCH(E1257,Код_КЦСР,0)),"",INDIRECT(ADDRESS(MATCH(E1257,Код_КЦСР,0)+1,2,,,"КЦСР")))</f>
        <v>Муниципальная программа «Развитие образования» на 2013 – 2022 годы</v>
      </c>
      <c r="B1257" s="26">
        <v>811</v>
      </c>
      <c r="C1257" s="65" t="s">
        <v>60</v>
      </c>
      <c r="D1257" s="65" t="s">
        <v>72</v>
      </c>
      <c r="E1257" s="26" t="s">
        <v>199</v>
      </c>
      <c r="F1257" s="26"/>
      <c r="G1257" s="66">
        <f t="shared" ref="G1257:N1260" si="230">G1258</f>
        <v>37200</v>
      </c>
      <c r="H1257" s="66">
        <f t="shared" si="230"/>
        <v>0</v>
      </c>
      <c r="I1257" s="67">
        <f t="shared" si="225"/>
        <v>37200</v>
      </c>
      <c r="J1257" s="66">
        <f t="shared" si="230"/>
        <v>0</v>
      </c>
      <c r="K1257" s="67">
        <f t="shared" si="228"/>
        <v>37200</v>
      </c>
      <c r="L1257" s="66">
        <f t="shared" si="230"/>
        <v>-2631.1000000000004</v>
      </c>
      <c r="M1257" s="67">
        <f t="shared" si="229"/>
        <v>34568.9</v>
      </c>
      <c r="N1257" s="66">
        <f t="shared" si="230"/>
        <v>0</v>
      </c>
      <c r="O1257" s="67">
        <f t="shared" si="226"/>
        <v>34568.9</v>
      </c>
    </row>
    <row r="1258" spans="1:15" x14ac:dyDescent="0.2">
      <c r="A1258" s="64" t="str">
        <f ca="1">IF(ISERROR(MATCH(E1258,Код_КЦСР,0)),"",INDIRECT(ADDRESS(MATCH(E1258,Код_КЦСР,0)+1,2,,,"КЦСР")))</f>
        <v>Дополнительное образование</v>
      </c>
      <c r="B1258" s="26">
        <v>811</v>
      </c>
      <c r="C1258" s="65" t="s">
        <v>60</v>
      </c>
      <c r="D1258" s="65" t="s">
        <v>72</v>
      </c>
      <c r="E1258" s="26" t="s">
        <v>211</v>
      </c>
      <c r="F1258" s="26"/>
      <c r="G1258" s="66">
        <f t="shared" si="230"/>
        <v>37200</v>
      </c>
      <c r="H1258" s="66">
        <f t="shared" si="230"/>
        <v>0</v>
      </c>
      <c r="I1258" s="67">
        <f t="shared" si="225"/>
        <v>37200</v>
      </c>
      <c r="J1258" s="66">
        <f t="shared" si="230"/>
        <v>0</v>
      </c>
      <c r="K1258" s="67">
        <f t="shared" si="228"/>
        <v>37200</v>
      </c>
      <c r="L1258" s="66">
        <f t="shared" si="230"/>
        <v>-2631.1000000000004</v>
      </c>
      <c r="M1258" s="67">
        <f t="shared" si="229"/>
        <v>34568.9</v>
      </c>
      <c r="N1258" s="66">
        <f t="shared" si="230"/>
        <v>0</v>
      </c>
      <c r="O1258" s="67">
        <f t="shared" si="226"/>
        <v>34568.9</v>
      </c>
    </row>
    <row r="1259" spans="1:15" ht="49.5" x14ac:dyDescent="0.2">
      <c r="A1259" s="52" t="str">
        <f ca="1">IF(ISERROR(MATCH(E1259,Код_КЦСР,0)),"",INDIRECT(ADDRESS(MATCH(E1259,Код_КЦСР,0)+1,2,,,"КЦСР")))</f>
        <v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</v>
      </c>
      <c r="B1259" s="25">
        <v>811</v>
      </c>
      <c r="C1259" s="87" t="s">
        <v>60</v>
      </c>
      <c r="D1259" s="87" t="s">
        <v>72</v>
      </c>
      <c r="E1259" s="25" t="s">
        <v>495</v>
      </c>
      <c r="F1259" s="25"/>
      <c r="G1259" s="88">
        <f t="shared" si="230"/>
        <v>37200</v>
      </c>
      <c r="H1259" s="88">
        <f t="shared" si="230"/>
        <v>0</v>
      </c>
      <c r="I1259" s="67">
        <f t="shared" si="225"/>
        <v>37200</v>
      </c>
      <c r="J1259" s="88">
        <f t="shared" si="230"/>
        <v>0</v>
      </c>
      <c r="K1259" s="67">
        <f t="shared" si="228"/>
        <v>37200</v>
      </c>
      <c r="L1259" s="88">
        <f t="shared" si="230"/>
        <v>-2631.1000000000004</v>
      </c>
      <c r="M1259" s="67">
        <f t="shared" si="229"/>
        <v>34568.9</v>
      </c>
      <c r="N1259" s="88">
        <f t="shared" si="230"/>
        <v>0</v>
      </c>
      <c r="O1259" s="67">
        <f t="shared" si="226"/>
        <v>34568.9</v>
      </c>
    </row>
    <row r="1260" spans="1:15" ht="33" x14ac:dyDescent="0.2">
      <c r="A1260" s="52" t="str">
        <f ca="1">IF(ISERROR(MATCH(F1260,Код_КВР,0)),"",INDIRECT(ADDRESS(MATCH(F1260,Код_КВР,0)+1,2,,,"КВР")))</f>
        <v>Закупка товаров, работ и услуг для обеспечения государственных (муниципальных) нужд</v>
      </c>
      <c r="B1260" s="25">
        <v>811</v>
      </c>
      <c r="C1260" s="87" t="s">
        <v>60</v>
      </c>
      <c r="D1260" s="87" t="s">
        <v>72</v>
      </c>
      <c r="E1260" s="25" t="s">
        <v>495</v>
      </c>
      <c r="F1260" s="25">
        <v>200</v>
      </c>
      <c r="G1260" s="88">
        <f t="shared" si="230"/>
        <v>37200</v>
      </c>
      <c r="H1260" s="88">
        <f t="shared" si="230"/>
        <v>0</v>
      </c>
      <c r="I1260" s="67">
        <f t="shared" si="225"/>
        <v>37200</v>
      </c>
      <c r="J1260" s="88">
        <f t="shared" si="230"/>
        <v>0</v>
      </c>
      <c r="K1260" s="67">
        <f t="shared" si="228"/>
        <v>37200</v>
      </c>
      <c r="L1260" s="88">
        <f t="shared" si="230"/>
        <v>-2631.1000000000004</v>
      </c>
      <c r="M1260" s="67">
        <f t="shared" si="229"/>
        <v>34568.9</v>
      </c>
      <c r="N1260" s="88">
        <f t="shared" si="230"/>
        <v>0</v>
      </c>
      <c r="O1260" s="67">
        <f t="shared" si="226"/>
        <v>34568.9</v>
      </c>
    </row>
    <row r="1261" spans="1:15" ht="33" x14ac:dyDescent="0.2">
      <c r="A1261" s="52" t="str">
        <f ca="1">IF(ISERROR(MATCH(F1261,Код_КВР,0)),"",INDIRECT(ADDRESS(MATCH(F1261,Код_КВР,0)+1,2,,,"КВР")))</f>
        <v>Иные закупки товаров, работ и услуг для обеспечения государственных (муниципальных) нужд</v>
      </c>
      <c r="B1261" s="25">
        <v>811</v>
      </c>
      <c r="C1261" s="87" t="s">
        <v>60</v>
      </c>
      <c r="D1261" s="87" t="s">
        <v>72</v>
      </c>
      <c r="E1261" s="25" t="s">
        <v>495</v>
      </c>
      <c r="F1261" s="25">
        <v>240</v>
      </c>
      <c r="G1261" s="88">
        <v>37200</v>
      </c>
      <c r="H1261" s="88"/>
      <c r="I1261" s="67">
        <f t="shared" si="225"/>
        <v>37200</v>
      </c>
      <c r="J1261" s="88"/>
      <c r="K1261" s="67">
        <f t="shared" si="228"/>
        <v>37200</v>
      </c>
      <c r="L1261" s="88">
        <f>-1917.4-713.7</f>
        <v>-2631.1000000000004</v>
      </c>
      <c r="M1261" s="67">
        <f t="shared" si="229"/>
        <v>34568.9</v>
      </c>
      <c r="N1261" s="88"/>
      <c r="O1261" s="67">
        <f t="shared" si="226"/>
        <v>34568.9</v>
      </c>
    </row>
    <row r="1262" spans="1:15" ht="66" x14ac:dyDescent="0.2">
      <c r="A1262" s="64" t="str">
        <f ca="1">IF(ISERROR(MATCH(E1262,Код_КЦСР,0)),"",INDIRECT(ADDRESS(MATCH(E1262,Код_КЦСР,0)+1,2,,,"КЦСР")))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262" s="26">
        <v>811</v>
      </c>
      <c r="C1262" s="65" t="s">
        <v>60</v>
      </c>
      <c r="D1262" s="65" t="s">
        <v>72</v>
      </c>
      <c r="E1262" s="26" t="s">
        <v>362</v>
      </c>
      <c r="F1262" s="26"/>
      <c r="G1262" s="66">
        <f t="shared" ref="G1262:N1265" si="231">G1263</f>
        <v>10323.200000000001</v>
      </c>
      <c r="H1262" s="66">
        <f t="shared" si="231"/>
        <v>0</v>
      </c>
      <c r="I1262" s="67">
        <f t="shared" si="225"/>
        <v>10323.200000000001</v>
      </c>
      <c r="J1262" s="66">
        <f t="shared" si="231"/>
        <v>0</v>
      </c>
      <c r="K1262" s="67">
        <f t="shared" si="228"/>
        <v>10323.200000000001</v>
      </c>
      <c r="L1262" s="66">
        <f t="shared" si="231"/>
        <v>-9322.1</v>
      </c>
      <c r="M1262" s="67">
        <f t="shared" si="229"/>
        <v>1001.1000000000004</v>
      </c>
      <c r="N1262" s="66">
        <f t="shared" si="231"/>
        <v>0</v>
      </c>
      <c r="O1262" s="67">
        <f t="shared" si="226"/>
        <v>1001.1000000000004</v>
      </c>
    </row>
    <row r="1263" spans="1:15" x14ac:dyDescent="0.2">
      <c r="A1263" s="64" t="str">
        <f ca="1">IF(ISERROR(MATCH(E1263,Код_КЦСР,0)),"",INDIRECT(ADDRESS(MATCH(E1263,Код_КЦСР,0)+1,2,,,"КЦСР")))</f>
        <v>Капитальный ремонт объектов муниципальной собственности</v>
      </c>
      <c r="B1263" s="26">
        <v>811</v>
      </c>
      <c r="C1263" s="65" t="s">
        <v>60</v>
      </c>
      <c r="D1263" s="65" t="s">
        <v>72</v>
      </c>
      <c r="E1263" s="26" t="s">
        <v>366</v>
      </c>
      <c r="F1263" s="26"/>
      <c r="G1263" s="66">
        <f t="shared" si="231"/>
        <v>10323.200000000001</v>
      </c>
      <c r="H1263" s="66">
        <f t="shared" si="231"/>
        <v>0</v>
      </c>
      <c r="I1263" s="67">
        <f t="shared" si="225"/>
        <v>10323.200000000001</v>
      </c>
      <c r="J1263" s="66">
        <f t="shared" si="231"/>
        <v>0</v>
      </c>
      <c r="K1263" s="67">
        <f t="shared" si="228"/>
        <v>10323.200000000001</v>
      </c>
      <c r="L1263" s="66">
        <f t="shared" si="231"/>
        <v>-9322.1</v>
      </c>
      <c r="M1263" s="67">
        <f t="shared" si="229"/>
        <v>1001.1000000000004</v>
      </c>
      <c r="N1263" s="66">
        <f t="shared" si="231"/>
        <v>0</v>
      </c>
      <c r="O1263" s="67">
        <f t="shared" si="226"/>
        <v>1001.1000000000004</v>
      </c>
    </row>
    <row r="1264" spans="1:15" ht="35.25" customHeight="1" x14ac:dyDescent="0.2">
      <c r="A1264" s="64" t="str">
        <f ca="1">IF(ISERROR(MATCH(E1264,Код_КЦСР,0)),"",INDIRECT(ADDRESS(MATCH(E1264,Код_КЦСР,0)+1,2,,,"КЦСР")))</f>
        <v>Капитальный ремонт объектов муниципальной собственности, за счет средств городского бюджета</v>
      </c>
      <c r="B1264" s="26">
        <v>811</v>
      </c>
      <c r="C1264" s="65" t="s">
        <v>60</v>
      </c>
      <c r="D1264" s="65" t="s">
        <v>72</v>
      </c>
      <c r="E1264" s="26" t="s">
        <v>559</v>
      </c>
      <c r="F1264" s="26"/>
      <c r="G1264" s="66">
        <f t="shared" si="231"/>
        <v>10323.200000000001</v>
      </c>
      <c r="H1264" s="66">
        <f t="shared" si="231"/>
        <v>0</v>
      </c>
      <c r="I1264" s="67">
        <f t="shared" si="225"/>
        <v>10323.200000000001</v>
      </c>
      <c r="J1264" s="66">
        <f t="shared" si="231"/>
        <v>0</v>
      </c>
      <c r="K1264" s="67">
        <f t="shared" si="228"/>
        <v>10323.200000000001</v>
      </c>
      <c r="L1264" s="66">
        <f t="shared" si="231"/>
        <v>-9322.1</v>
      </c>
      <c r="M1264" s="67">
        <f t="shared" si="229"/>
        <v>1001.1000000000004</v>
      </c>
      <c r="N1264" s="66">
        <f t="shared" si="231"/>
        <v>0</v>
      </c>
      <c r="O1264" s="67">
        <f t="shared" si="226"/>
        <v>1001.1000000000004</v>
      </c>
    </row>
    <row r="1265" spans="1:15" ht="33" x14ac:dyDescent="0.2">
      <c r="A1265" s="64" t="str">
        <f ca="1">IF(ISERROR(MATCH(F1265,Код_КВР,0)),"",INDIRECT(ADDRESS(MATCH(F1265,Код_КВР,0)+1,2,,,"КВР")))</f>
        <v>Закупка товаров, работ и услуг для обеспечения государственных (муниципальных) нужд</v>
      </c>
      <c r="B1265" s="26">
        <v>811</v>
      </c>
      <c r="C1265" s="65" t="s">
        <v>60</v>
      </c>
      <c r="D1265" s="65" t="s">
        <v>72</v>
      </c>
      <c r="E1265" s="26" t="s">
        <v>559</v>
      </c>
      <c r="F1265" s="26">
        <v>200</v>
      </c>
      <c r="G1265" s="66">
        <f t="shared" si="231"/>
        <v>10323.200000000001</v>
      </c>
      <c r="H1265" s="66">
        <f t="shared" si="231"/>
        <v>0</v>
      </c>
      <c r="I1265" s="67">
        <f t="shared" si="225"/>
        <v>10323.200000000001</v>
      </c>
      <c r="J1265" s="66">
        <f t="shared" si="231"/>
        <v>0</v>
      </c>
      <c r="K1265" s="67">
        <f t="shared" si="228"/>
        <v>10323.200000000001</v>
      </c>
      <c r="L1265" s="66">
        <f t="shared" si="231"/>
        <v>-9322.1</v>
      </c>
      <c r="M1265" s="67">
        <f t="shared" si="229"/>
        <v>1001.1000000000004</v>
      </c>
      <c r="N1265" s="66">
        <f t="shared" si="231"/>
        <v>0</v>
      </c>
      <c r="O1265" s="67">
        <f t="shared" si="226"/>
        <v>1001.1000000000004</v>
      </c>
    </row>
    <row r="1266" spans="1:15" ht="33" x14ac:dyDescent="0.2">
      <c r="A1266" s="64" t="str">
        <f ca="1">IF(ISERROR(MATCH(F1266,Код_КВР,0)),"",INDIRECT(ADDRESS(MATCH(F1266,Код_КВР,0)+1,2,,,"КВР")))</f>
        <v>Иные закупки товаров, работ и услуг для обеспечения государственных (муниципальных) нужд</v>
      </c>
      <c r="B1266" s="26">
        <v>811</v>
      </c>
      <c r="C1266" s="65" t="s">
        <v>60</v>
      </c>
      <c r="D1266" s="65" t="s">
        <v>72</v>
      </c>
      <c r="E1266" s="26" t="s">
        <v>559</v>
      </c>
      <c r="F1266" s="26">
        <v>240</v>
      </c>
      <c r="G1266" s="66">
        <f>9461+862.2</f>
        <v>10323.200000000001</v>
      </c>
      <c r="H1266" s="66"/>
      <c r="I1266" s="67">
        <f t="shared" si="225"/>
        <v>10323.200000000001</v>
      </c>
      <c r="J1266" s="66"/>
      <c r="K1266" s="67">
        <f t="shared" si="228"/>
        <v>10323.200000000001</v>
      </c>
      <c r="L1266" s="66">
        <v>-9322.1</v>
      </c>
      <c r="M1266" s="67">
        <f t="shared" si="229"/>
        <v>1001.1000000000004</v>
      </c>
      <c r="N1266" s="66"/>
      <c r="O1266" s="67">
        <f t="shared" si="226"/>
        <v>1001.1000000000004</v>
      </c>
    </row>
    <row r="1267" spans="1:15" ht="21.75" customHeight="1" x14ac:dyDescent="0.2">
      <c r="A1267" s="55" t="s">
        <v>532</v>
      </c>
      <c r="B1267" s="25">
        <v>811</v>
      </c>
      <c r="C1267" s="87" t="s">
        <v>60</v>
      </c>
      <c r="D1267" s="87" t="s">
        <v>78</v>
      </c>
      <c r="E1267" s="25"/>
      <c r="F1267" s="25"/>
      <c r="G1267" s="88">
        <f>G1268</f>
        <v>53.5</v>
      </c>
      <c r="H1267" s="88">
        <f>H1268</f>
        <v>0</v>
      </c>
      <c r="I1267" s="67">
        <f t="shared" si="225"/>
        <v>53.5</v>
      </c>
      <c r="J1267" s="88">
        <f>J1268</f>
        <v>0</v>
      </c>
      <c r="K1267" s="67">
        <f t="shared" si="228"/>
        <v>53.5</v>
      </c>
      <c r="L1267" s="88">
        <f>L1268</f>
        <v>0</v>
      </c>
      <c r="M1267" s="67">
        <f t="shared" si="229"/>
        <v>53.5</v>
      </c>
      <c r="N1267" s="88">
        <f>N1268</f>
        <v>0</v>
      </c>
      <c r="O1267" s="67">
        <f t="shared" si="226"/>
        <v>53.5</v>
      </c>
    </row>
    <row r="1268" spans="1:15" ht="66" x14ac:dyDescent="0.2">
      <c r="A1268" s="52" t="str">
        <f ca="1">IF(ISERROR(MATCH(E1268,Код_КЦСР,0)),"",INDIRECT(ADDRESS(MATCH(E1268,Код_КЦСР,0)+1,2,,,"КЦСР")))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268" s="25">
        <v>811</v>
      </c>
      <c r="C1268" s="87" t="s">
        <v>60</v>
      </c>
      <c r="D1268" s="87" t="s">
        <v>78</v>
      </c>
      <c r="E1268" s="25" t="s">
        <v>362</v>
      </c>
      <c r="F1268" s="25"/>
      <c r="G1268" s="88">
        <f>+G1269</f>
        <v>53.5</v>
      </c>
      <c r="H1268" s="88">
        <f>+H1269</f>
        <v>0</v>
      </c>
      <c r="I1268" s="67">
        <f t="shared" si="225"/>
        <v>53.5</v>
      </c>
      <c r="J1268" s="88">
        <f>+J1269</f>
        <v>0</v>
      </c>
      <c r="K1268" s="67">
        <f t="shared" si="228"/>
        <v>53.5</v>
      </c>
      <c r="L1268" s="88">
        <f>+L1269</f>
        <v>0</v>
      </c>
      <c r="M1268" s="67">
        <f t="shared" si="229"/>
        <v>53.5</v>
      </c>
      <c r="N1268" s="88">
        <f>+N1269</f>
        <v>0</v>
      </c>
      <c r="O1268" s="67">
        <f t="shared" si="226"/>
        <v>53.5</v>
      </c>
    </row>
    <row r="1269" spans="1:15" ht="20.25" customHeight="1" x14ac:dyDescent="0.2">
      <c r="A1269" s="52" t="str">
        <f ca="1">IF(ISERROR(MATCH(E1269,Код_КЦСР,0)),"",INDIRECT(ADDRESS(MATCH(E1269,Код_КЦСР,0)+1,2,,,"КЦСР")))</f>
        <v>Обеспечение создания условий для реализации муниципальной программы</v>
      </c>
      <c r="B1269" s="25">
        <v>811</v>
      </c>
      <c r="C1269" s="87" t="s">
        <v>60</v>
      </c>
      <c r="D1269" s="87" t="s">
        <v>78</v>
      </c>
      <c r="E1269" s="25" t="s">
        <v>367</v>
      </c>
      <c r="F1269" s="25"/>
      <c r="G1269" s="88">
        <f>G1270</f>
        <v>53.5</v>
      </c>
      <c r="H1269" s="88">
        <f>H1270</f>
        <v>0</v>
      </c>
      <c r="I1269" s="67">
        <f t="shared" si="225"/>
        <v>53.5</v>
      </c>
      <c r="J1269" s="88">
        <f>J1270</f>
        <v>0</v>
      </c>
      <c r="K1269" s="67">
        <f t="shared" si="228"/>
        <v>53.5</v>
      </c>
      <c r="L1269" s="88">
        <f>L1270</f>
        <v>0</v>
      </c>
      <c r="M1269" s="67">
        <f t="shared" si="229"/>
        <v>53.5</v>
      </c>
      <c r="N1269" s="88">
        <f>N1270</f>
        <v>0</v>
      </c>
      <c r="O1269" s="67">
        <f t="shared" si="226"/>
        <v>53.5</v>
      </c>
    </row>
    <row r="1270" spans="1:15" ht="33" x14ac:dyDescent="0.2">
      <c r="A1270" s="52" t="str">
        <f ca="1">IF(ISERROR(MATCH(F1270,Код_КВР,0)),"",INDIRECT(ADDRESS(MATCH(F1270,Код_КВР,0)+1,2,,,"КВР")))</f>
        <v>Закупка товаров, работ и услуг для обеспечения государственных (муниципальных) нужд</v>
      </c>
      <c r="B1270" s="25">
        <v>811</v>
      </c>
      <c r="C1270" s="87" t="s">
        <v>60</v>
      </c>
      <c r="D1270" s="87" t="s">
        <v>78</v>
      </c>
      <c r="E1270" s="25" t="s">
        <v>367</v>
      </c>
      <c r="F1270" s="25">
        <v>200</v>
      </c>
      <c r="G1270" s="88">
        <f>G1271</f>
        <v>53.5</v>
      </c>
      <c r="H1270" s="88">
        <f>H1271</f>
        <v>0</v>
      </c>
      <c r="I1270" s="67">
        <f t="shared" si="225"/>
        <v>53.5</v>
      </c>
      <c r="J1270" s="88">
        <f>J1271</f>
        <v>0</v>
      </c>
      <c r="K1270" s="67">
        <f t="shared" si="228"/>
        <v>53.5</v>
      </c>
      <c r="L1270" s="88">
        <f>L1271</f>
        <v>0</v>
      </c>
      <c r="M1270" s="67">
        <f t="shared" si="229"/>
        <v>53.5</v>
      </c>
      <c r="N1270" s="88">
        <f>N1271</f>
        <v>0</v>
      </c>
      <c r="O1270" s="67">
        <f t="shared" si="226"/>
        <v>53.5</v>
      </c>
    </row>
    <row r="1271" spans="1:15" ht="33" x14ac:dyDescent="0.2">
      <c r="A1271" s="52" t="str">
        <f ca="1">IF(ISERROR(MATCH(F1271,Код_КВР,0)),"",INDIRECT(ADDRESS(MATCH(F1271,Код_КВР,0)+1,2,,,"КВР")))</f>
        <v>Иные закупки товаров, работ и услуг для обеспечения государственных (муниципальных) нужд</v>
      </c>
      <c r="B1271" s="25">
        <v>811</v>
      </c>
      <c r="C1271" s="87" t="s">
        <v>60</v>
      </c>
      <c r="D1271" s="87" t="s">
        <v>78</v>
      </c>
      <c r="E1271" s="25" t="s">
        <v>367</v>
      </c>
      <c r="F1271" s="25">
        <v>240</v>
      </c>
      <c r="G1271" s="88">
        <v>53.5</v>
      </c>
      <c r="H1271" s="88"/>
      <c r="I1271" s="67">
        <f t="shared" si="225"/>
        <v>53.5</v>
      </c>
      <c r="J1271" s="88"/>
      <c r="K1271" s="67">
        <f t="shared" si="228"/>
        <v>53.5</v>
      </c>
      <c r="L1271" s="88"/>
      <c r="M1271" s="67">
        <f t="shared" si="229"/>
        <v>53.5</v>
      </c>
      <c r="N1271" s="88"/>
      <c r="O1271" s="67">
        <f t="shared" si="226"/>
        <v>53.5</v>
      </c>
    </row>
    <row r="1272" spans="1:15" x14ac:dyDescent="0.2">
      <c r="A1272" s="64" t="str">
        <f ca="1">IF(ISERROR(MATCH(C1272,Код_Раздел,0)),"",INDIRECT(ADDRESS(MATCH(C1272,Код_Раздел,0)+1,2,,,"Раздел")))</f>
        <v>Культура, кинематография</v>
      </c>
      <c r="B1272" s="26">
        <v>811</v>
      </c>
      <c r="C1272" s="65" t="s">
        <v>79</v>
      </c>
      <c r="D1272" s="65"/>
      <c r="E1272" s="26"/>
      <c r="F1272" s="26"/>
      <c r="G1272" s="66">
        <f>G1273+G1283</f>
        <v>9249.5</v>
      </c>
      <c r="H1272" s="66">
        <f>H1273+H1283</f>
        <v>0</v>
      </c>
      <c r="I1272" s="67">
        <f t="shared" si="225"/>
        <v>9249.5</v>
      </c>
      <c r="J1272" s="66">
        <f>J1273+J1283</f>
        <v>0</v>
      </c>
      <c r="K1272" s="67">
        <f t="shared" si="228"/>
        <v>9249.5</v>
      </c>
      <c r="L1272" s="66">
        <f>L1273+L1283</f>
        <v>0</v>
      </c>
      <c r="M1272" s="67">
        <f t="shared" si="229"/>
        <v>9249.5</v>
      </c>
      <c r="N1272" s="66">
        <f>N1273+N1283</f>
        <v>0</v>
      </c>
      <c r="O1272" s="67">
        <f t="shared" si="226"/>
        <v>9249.5</v>
      </c>
    </row>
    <row r="1273" spans="1:15" x14ac:dyDescent="0.2">
      <c r="A1273" s="74" t="s">
        <v>49</v>
      </c>
      <c r="B1273" s="26">
        <v>811</v>
      </c>
      <c r="C1273" s="65" t="s">
        <v>79</v>
      </c>
      <c r="D1273" s="65" t="s">
        <v>70</v>
      </c>
      <c r="E1273" s="26"/>
      <c r="F1273" s="26"/>
      <c r="G1273" s="66">
        <f t="shared" ref="G1273:N1273" si="232">G1274</f>
        <v>9249.5</v>
      </c>
      <c r="H1273" s="66">
        <f t="shared" si="232"/>
        <v>0</v>
      </c>
      <c r="I1273" s="67">
        <f t="shared" si="225"/>
        <v>9249.5</v>
      </c>
      <c r="J1273" s="66">
        <f t="shared" si="232"/>
        <v>0</v>
      </c>
      <c r="K1273" s="67">
        <f t="shared" si="228"/>
        <v>9249.5</v>
      </c>
      <c r="L1273" s="66">
        <f t="shared" si="232"/>
        <v>0</v>
      </c>
      <c r="M1273" s="67">
        <f t="shared" si="229"/>
        <v>9249.5</v>
      </c>
      <c r="N1273" s="66">
        <f t="shared" si="232"/>
        <v>0</v>
      </c>
      <c r="O1273" s="67">
        <f t="shared" si="226"/>
        <v>9249.5</v>
      </c>
    </row>
    <row r="1274" spans="1:15" ht="66" x14ac:dyDescent="0.2">
      <c r="A1274" s="64" t="str">
        <f ca="1">IF(ISERROR(MATCH(E1274,Код_КЦСР,0)),"",INDIRECT(ADDRESS(MATCH(E1274,Код_КЦСР,0)+1,2,,,"КЦСР")))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274" s="26">
        <v>811</v>
      </c>
      <c r="C1274" s="65" t="s">
        <v>79</v>
      </c>
      <c r="D1274" s="65" t="s">
        <v>70</v>
      </c>
      <c r="E1274" s="26" t="s">
        <v>362</v>
      </c>
      <c r="F1274" s="26"/>
      <c r="G1274" s="66">
        <f>G1279+G1276</f>
        <v>9249.5</v>
      </c>
      <c r="H1274" s="66">
        <f>H1279+H1276</f>
        <v>0</v>
      </c>
      <c r="I1274" s="67">
        <f t="shared" si="225"/>
        <v>9249.5</v>
      </c>
      <c r="J1274" s="66">
        <f>J1279+J1276</f>
        <v>0</v>
      </c>
      <c r="K1274" s="67">
        <f t="shared" si="228"/>
        <v>9249.5</v>
      </c>
      <c r="L1274" s="66">
        <f>L1279+L1276</f>
        <v>0</v>
      </c>
      <c r="M1274" s="67">
        <f t="shared" si="229"/>
        <v>9249.5</v>
      </c>
      <c r="N1274" s="66">
        <f>N1279+N1276</f>
        <v>0</v>
      </c>
      <c r="O1274" s="67">
        <f t="shared" si="226"/>
        <v>9249.5</v>
      </c>
    </row>
    <row r="1275" spans="1:15" ht="33" hidden="1" x14ac:dyDescent="0.2">
      <c r="A1275" s="64" t="str">
        <f ca="1">IF(ISERROR(MATCH(E1275,Код_КЦСР,0)),"",INDIRECT(ADDRESS(MATCH(E1275,Код_КЦСР,0)+1,2,,,"КЦСР")))</f>
        <v>Осуществление бюджетных инвестиций в объекты муниципальной собственности</v>
      </c>
      <c r="B1275" s="26">
        <v>811</v>
      </c>
      <c r="C1275" s="65" t="s">
        <v>79</v>
      </c>
      <c r="D1275" s="65" t="s">
        <v>70</v>
      </c>
      <c r="E1275" s="26" t="s">
        <v>363</v>
      </c>
      <c r="F1275" s="26"/>
      <c r="G1275" s="66">
        <f t="shared" ref="G1275:N1277" si="233">G1276</f>
        <v>0</v>
      </c>
      <c r="H1275" s="66">
        <f t="shared" si="233"/>
        <v>0</v>
      </c>
      <c r="I1275" s="67">
        <f t="shared" si="225"/>
        <v>0</v>
      </c>
      <c r="J1275" s="66">
        <f t="shared" si="233"/>
        <v>0</v>
      </c>
      <c r="K1275" s="67">
        <f t="shared" si="228"/>
        <v>0</v>
      </c>
      <c r="L1275" s="66">
        <f t="shared" si="233"/>
        <v>0</v>
      </c>
      <c r="M1275" s="67">
        <f t="shared" si="229"/>
        <v>0</v>
      </c>
      <c r="N1275" s="66">
        <f t="shared" si="233"/>
        <v>0</v>
      </c>
      <c r="O1275" s="67">
        <f t="shared" si="226"/>
        <v>0</v>
      </c>
    </row>
    <row r="1276" spans="1:15" hidden="1" x14ac:dyDescent="0.2">
      <c r="A1276" s="64" t="str">
        <f ca="1">IF(ISERROR(MATCH(E1276,Код_КЦСР,0)),"",INDIRECT(ADDRESS(MATCH(E1276,Код_КЦСР,0)+1,2,,,"КЦСР")))</f>
        <v>Строительство объектов сметной стоимостью до 100 млн. рублей</v>
      </c>
      <c r="B1276" s="26">
        <v>811</v>
      </c>
      <c r="C1276" s="65" t="s">
        <v>79</v>
      </c>
      <c r="D1276" s="65" t="s">
        <v>70</v>
      </c>
      <c r="E1276" s="26" t="s">
        <v>364</v>
      </c>
      <c r="F1276" s="26"/>
      <c r="G1276" s="66">
        <f t="shared" si="233"/>
        <v>0</v>
      </c>
      <c r="H1276" s="66">
        <f t="shared" si="233"/>
        <v>0</v>
      </c>
      <c r="I1276" s="67">
        <f t="shared" si="225"/>
        <v>0</v>
      </c>
      <c r="J1276" s="66">
        <f t="shared" si="233"/>
        <v>0</v>
      </c>
      <c r="K1276" s="67">
        <f t="shared" si="228"/>
        <v>0</v>
      </c>
      <c r="L1276" s="66">
        <f t="shared" si="233"/>
        <v>0</v>
      </c>
      <c r="M1276" s="67">
        <f t="shared" si="229"/>
        <v>0</v>
      </c>
      <c r="N1276" s="66">
        <f t="shared" si="233"/>
        <v>0</v>
      </c>
      <c r="O1276" s="67">
        <f t="shared" si="226"/>
        <v>0</v>
      </c>
    </row>
    <row r="1277" spans="1:15" ht="33" hidden="1" x14ac:dyDescent="0.2">
      <c r="A1277" s="64" t="str">
        <f ca="1">IF(ISERROR(MATCH(F1277,Код_КВР,0)),"",INDIRECT(ADDRESS(MATCH(F1277,Код_КВР,0)+1,2,,,"КВР")))</f>
        <v>Капитальные вложения в объекты государственной (муниципальной) собственности</v>
      </c>
      <c r="B1277" s="26">
        <v>811</v>
      </c>
      <c r="C1277" s="65" t="s">
        <v>79</v>
      </c>
      <c r="D1277" s="65" t="s">
        <v>70</v>
      </c>
      <c r="E1277" s="26" t="s">
        <v>364</v>
      </c>
      <c r="F1277" s="26">
        <v>400</v>
      </c>
      <c r="G1277" s="66">
        <f t="shared" si="233"/>
        <v>0</v>
      </c>
      <c r="H1277" s="66">
        <f t="shared" si="233"/>
        <v>0</v>
      </c>
      <c r="I1277" s="67">
        <f t="shared" si="225"/>
        <v>0</v>
      </c>
      <c r="J1277" s="66">
        <f t="shared" si="233"/>
        <v>0</v>
      </c>
      <c r="K1277" s="67">
        <f t="shared" si="228"/>
        <v>0</v>
      </c>
      <c r="L1277" s="66">
        <f t="shared" si="233"/>
        <v>0</v>
      </c>
      <c r="M1277" s="67">
        <f t="shared" si="229"/>
        <v>0</v>
      </c>
      <c r="N1277" s="66">
        <f t="shared" si="233"/>
        <v>0</v>
      </c>
      <c r="O1277" s="67">
        <f t="shared" si="226"/>
        <v>0</v>
      </c>
    </row>
    <row r="1278" spans="1:15" hidden="1" x14ac:dyDescent="0.2">
      <c r="A1278" s="64" t="str">
        <f ca="1">IF(ISERROR(MATCH(F1278,Код_КВР,0)),"",INDIRECT(ADDRESS(MATCH(F1278,Код_КВР,0)+1,2,,,"КВР")))</f>
        <v>Бюджетные инвестиции</v>
      </c>
      <c r="B1278" s="26">
        <v>811</v>
      </c>
      <c r="C1278" s="65" t="s">
        <v>79</v>
      </c>
      <c r="D1278" s="65" t="s">
        <v>70</v>
      </c>
      <c r="E1278" s="26" t="s">
        <v>364</v>
      </c>
      <c r="F1278" s="26">
        <v>410</v>
      </c>
      <c r="G1278" s="66"/>
      <c r="H1278" s="66"/>
      <c r="I1278" s="67">
        <f t="shared" si="225"/>
        <v>0</v>
      </c>
      <c r="J1278" s="66"/>
      <c r="K1278" s="67">
        <f t="shared" si="228"/>
        <v>0</v>
      </c>
      <c r="L1278" s="66"/>
      <c r="M1278" s="67">
        <f t="shared" si="229"/>
        <v>0</v>
      </c>
      <c r="N1278" s="66"/>
      <c r="O1278" s="67">
        <f t="shared" si="226"/>
        <v>0</v>
      </c>
    </row>
    <row r="1279" spans="1:15" x14ac:dyDescent="0.2">
      <c r="A1279" s="64" t="str">
        <f ca="1">IF(ISERROR(MATCH(E1279,Код_КЦСР,0)),"",INDIRECT(ADDRESS(MATCH(E1279,Код_КЦСР,0)+1,2,,,"КЦСР")))</f>
        <v>Капитальный ремонт объектов муниципальной собственности</v>
      </c>
      <c r="B1279" s="26">
        <v>811</v>
      </c>
      <c r="C1279" s="65" t="s">
        <v>79</v>
      </c>
      <c r="D1279" s="65" t="s">
        <v>70</v>
      </c>
      <c r="E1279" s="26" t="s">
        <v>366</v>
      </c>
      <c r="F1279" s="26"/>
      <c r="G1279" s="66">
        <f t="shared" ref="G1279:N1281" si="234">G1280</f>
        <v>9249.5</v>
      </c>
      <c r="H1279" s="66">
        <f t="shared" si="234"/>
        <v>0</v>
      </c>
      <c r="I1279" s="67">
        <f t="shared" si="225"/>
        <v>9249.5</v>
      </c>
      <c r="J1279" s="66">
        <f t="shared" si="234"/>
        <v>0</v>
      </c>
      <c r="K1279" s="67">
        <f t="shared" si="228"/>
        <v>9249.5</v>
      </c>
      <c r="L1279" s="66">
        <f t="shared" si="234"/>
        <v>0</v>
      </c>
      <c r="M1279" s="67">
        <f t="shared" si="229"/>
        <v>9249.5</v>
      </c>
      <c r="N1279" s="66">
        <f t="shared" si="234"/>
        <v>0</v>
      </c>
      <c r="O1279" s="67">
        <f t="shared" si="226"/>
        <v>9249.5</v>
      </c>
    </row>
    <row r="1280" spans="1:15" ht="36" customHeight="1" x14ac:dyDescent="0.2">
      <c r="A1280" s="64" t="str">
        <f ca="1">IF(ISERROR(MATCH(E1280,Код_КЦСР,0)),"",INDIRECT(ADDRESS(MATCH(E1280,Код_КЦСР,0)+1,2,,,"КЦСР")))</f>
        <v>Капитальный ремонт объектов муниципальной собственности, за счет средств городского бюджета</v>
      </c>
      <c r="B1280" s="26">
        <v>811</v>
      </c>
      <c r="C1280" s="65" t="s">
        <v>79</v>
      </c>
      <c r="D1280" s="65" t="s">
        <v>70</v>
      </c>
      <c r="E1280" s="26" t="s">
        <v>559</v>
      </c>
      <c r="F1280" s="26"/>
      <c r="G1280" s="66">
        <f t="shared" si="234"/>
        <v>9249.5</v>
      </c>
      <c r="H1280" s="66">
        <f t="shared" si="234"/>
        <v>0</v>
      </c>
      <c r="I1280" s="67">
        <f t="shared" si="225"/>
        <v>9249.5</v>
      </c>
      <c r="J1280" s="66">
        <f t="shared" si="234"/>
        <v>0</v>
      </c>
      <c r="K1280" s="67">
        <f t="shared" si="228"/>
        <v>9249.5</v>
      </c>
      <c r="L1280" s="66">
        <f t="shared" si="234"/>
        <v>0</v>
      </c>
      <c r="M1280" s="67">
        <f t="shared" si="229"/>
        <v>9249.5</v>
      </c>
      <c r="N1280" s="66">
        <f t="shared" si="234"/>
        <v>0</v>
      </c>
      <c r="O1280" s="67">
        <f t="shared" si="226"/>
        <v>9249.5</v>
      </c>
    </row>
    <row r="1281" spans="1:15" ht="33" x14ac:dyDescent="0.2">
      <c r="A1281" s="64" t="str">
        <f ca="1">IF(ISERROR(MATCH(F1281,Код_КВР,0)),"",INDIRECT(ADDRESS(MATCH(F1281,Код_КВР,0)+1,2,,,"КВР")))</f>
        <v>Закупка товаров, работ и услуг для обеспечения государственных (муниципальных) нужд</v>
      </c>
      <c r="B1281" s="26">
        <v>811</v>
      </c>
      <c r="C1281" s="65" t="s">
        <v>79</v>
      </c>
      <c r="D1281" s="65" t="s">
        <v>70</v>
      </c>
      <c r="E1281" s="26" t="s">
        <v>559</v>
      </c>
      <c r="F1281" s="26">
        <v>200</v>
      </c>
      <c r="G1281" s="66">
        <f t="shared" si="234"/>
        <v>9249.5</v>
      </c>
      <c r="H1281" s="66">
        <f t="shared" si="234"/>
        <v>0</v>
      </c>
      <c r="I1281" s="67">
        <f t="shared" si="225"/>
        <v>9249.5</v>
      </c>
      <c r="J1281" s="66">
        <f t="shared" si="234"/>
        <v>0</v>
      </c>
      <c r="K1281" s="67">
        <f t="shared" si="228"/>
        <v>9249.5</v>
      </c>
      <c r="L1281" s="66">
        <f t="shared" si="234"/>
        <v>0</v>
      </c>
      <c r="M1281" s="67">
        <f t="shared" si="229"/>
        <v>9249.5</v>
      </c>
      <c r="N1281" s="66">
        <f t="shared" si="234"/>
        <v>0</v>
      </c>
      <c r="O1281" s="67">
        <f t="shared" si="226"/>
        <v>9249.5</v>
      </c>
    </row>
    <row r="1282" spans="1:15" ht="33" x14ac:dyDescent="0.2">
      <c r="A1282" s="64" t="str">
        <f ca="1">IF(ISERROR(MATCH(F1282,Код_КВР,0)),"",INDIRECT(ADDRESS(MATCH(F1282,Код_КВР,0)+1,2,,,"КВР")))</f>
        <v>Иные закупки товаров, работ и услуг для обеспечения государственных (муниципальных) нужд</v>
      </c>
      <c r="B1282" s="26">
        <v>811</v>
      </c>
      <c r="C1282" s="65" t="s">
        <v>79</v>
      </c>
      <c r="D1282" s="65" t="s">
        <v>70</v>
      </c>
      <c r="E1282" s="26" t="s">
        <v>559</v>
      </c>
      <c r="F1282" s="26">
        <v>240</v>
      </c>
      <c r="G1282" s="66">
        <v>9249.5</v>
      </c>
      <c r="H1282" s="66"/>
      <c r="I1282" s="67">
        <f t="shared" si="225"/>
        <v>9249.5</v>
      </c>
      <c r="J1282" s="66"/>
      <c r="K1282" s="67">
        <f t="shared" si="228"/>
        <v>9249.5</v>
      </c>
      <c r="L1282" s="66"/>
      <c r="M1282" s="67">
        <f t="shared" si="229"/>
        <v>9249.5</v>
      </c>
      <c r="N1282" s="66"/>
      <c r="O1282" s="67">
        <f t="shared" si="226"/>
        <v>9249.5</v>
      </c>
    </row>
    <row r="1283" spans="1:15" hidden="1" x14ac:dyDescent="0.2">
      <c r="A1283" s="74" t="s">
        <v>34</v>
      </c>
      <c r="B1283" s="26">
        <v>811</v>
      </c>
      <c r="C1283" s="65" t="s">
        <v>79</v>
      </c>
      <c r="D1283" s="65" t="s">
        <v>73</v>
      </c>
      <c r="E1283" s="26"/>
      <c r="F1283" s="26"/>
      <c r="G1283" s="66">
        <f t="shared" ref="G1283:N1287" si="235">G1284</f>
        <v>0</v>
      </c>
      <c r="H1283" s="66">
        <f t="shared" si="235"/>
        <v>0</v>
      </c>
      <c r="I1283" s="67">
        <f t="shared" si="225"/>
        <v>0</v>
      </c>
      <c r="J1283" s="66">
        <f t="shared" si="235"/>
        <v>0</v>
      </c>
      <c r="K1283" s="67">
        <f t="shared" si="228"/>
        <v>0</v>
      </c>
      <c r="L1283" s="66">
        <f t="shared" si="235"/>
        <v>0</v>
      </c>
      <c r="M1283" s="67">
        <f t="shared" si="229"/>
        <v>0</v>
      </c>
      <c r="N1283" s="66">
        <f t="shared" si="235"/>
        <v>0</v>
      </c>
      <c r="O1283" s="67">
        <f t="shared" si="226"/>
        <v>0</v>
      </c>
    </row>
    <row r="1284" spans="1:15" ht="66" hidden="1" x14ac:dyDescent="0.2">
      <c r="A1284" s="64" t="str">
        <f ca="1">IF(ISERROR(MATCH(E1284,Код_КЦСР,0)),"",INDIRECT(ADDRESS(MATCH(E1284,Код_КЦСР,0)+1,2,,,"КЦСР")))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284" s="26">
        <v>811</v>
      </c>
      <c r="C1284" s="65" t="s">
        <v>79</v>
      </c>
      <c r="D1284" s="65" t="s">
        <v>73</v>
      </c>
      <c r="E1284" s="26" t="s">
        <v>362</v>
      </c>
      <c r="F1284" s="26"/>
      <c r="G1284" s="66">
        <f>G1285</f>
        <v>0</v>
      </c>
      <c r="H1284" s="66">
        <f>H1285</f>
        <v>0</v>
      </c>
      <c r="I1284" s="67">
        <f t="shared" si="225"/>
        <v>0</v>
      </c>
      <c r="J1284" s="66">
        <f>J1285</f>
        <v>0</v>
      </c>
      <c r="K1284" s="67">
        <f t="shared" si="228"/>
        <v>0</v>
      </c>
      <c r="L1284" s="66">
        <f>L1285</f>
        <v>0</v>
      </c>
      <c r="M1284" s="67">
        <f t="shared" si="229"/>
        <v>0</v>
      </c>
      <c r="N1284" s="66">
        <f>N1285</f>
        <v>0</v>
      </c>
      <c r="O1284" s="67">
        <f t="shared" si="226"/>
        <v>0</v>
      </c>
    </row>
    <row r="1285" spans="1:15" ht="33" hidden="1" x14ac:dyDescent="0.2">
      <c r="A1285" s="64" t="str">
        <f ca="1">IF(ISERROR(MATCH(E1285,Код_КЦСР,0)),"",INDIRECT(ADDRESS(MATCH(E1285,Код_КЦСР,0)+1,2,,,"КЦСР")))</f>
        <v>Осуществление бюджетных инвестиций в объекты муниципальной собственности</v>
      </c>
      <c r="B1285" s="26">
        <v>811</v>
      </c>
      <c r="C1285" s="65" t="s">
        <v>79</v>
      </c>
      <c r="D1285" s="65" t="s">
        <v>73</v>
      </c>
      <c r="E1285" s="26" t="s">
        <v>363</v>
      </c>
      <c r="F1285" s="26"/>
      <c r="G1285" s="66">
        <f t="shared" ref="G1285:N1286" si="236">G1286</f>
        <v>0</v>
      </c>
      <c r="H1285" s="66">
        <f t="shared" si="236"/>
        <v>0</v>
      </c>
      <c r="I1285" s="67">
        <f t="shared" si="225"/>
        <v>0</v>
      </c>
      <c r="J1285" s="66">
        <f t="shared" si="236"/>
        <v>0</v>
      </c>
      <c r="K1285" s="67">
        <f t="shared" si="228"/>
        <v>0</v>
      </c>
      <c r="L1285" s="66">
        <f t="shared" si="236"/>
        <v>0</v>
      </c>
      <c r="M1285" s="67">
        <f t="shared" si="229"/>
        <v>0</v>
      </c>
      <c r="N1285" s="66">
        <f t="shared" si="236"/>
        <v>0</v>
      </c>
      <c r="O1285" s="67">
        <f t="shared" si="226"/>
        <v>0</v>
      </c>
    </row>
    <row r="1286" spans="1:15" hidden="1" x14ac:dyDescent="0.2">
      <c r="A1286" s="64" t="str">
        <f ca="1">IF(ISERROR(MATCH(E1286,Код_КЦСР,0)),"",INDIRECT(ADDRESS(MATCH(E1286,Код_КЦСР,0)+1,2,,,"КЦСР")))</f>
        <v>Строительство объектов сметной стоимостью до 100 млн. рублей</v>
      </c>
      <c r="B1286" s="26">
        <v>811</v>
      </c>
      <c r="C1286" s="65" t="s">
        <v>79</v>
      </c>
      <c r="D1286" s="65" t="s">
        <v>73</v>
      </c>
      <c r="E1286" s="26" t="s">
        <v>364</v>
      </c>
      <c r="F1286" s="26"/>
      <c r="G1286" s="66">
        <f t="shared" si="236"/>
        <v>0</v>
      </c>
      <c r="H1286" s="66">
        <f t="shared" si="236"/>
        <v>0</v>
      </c>
      <c r="I1286" s="67">
        <f t="shared" si="225"/>
        <v>0</v>
      </c>
      <c r="J1286" s="66">
        <f t="shared" si="236"/>
        <v>0</v>
      </c>
      <c r="K1286" s="67">
        <f t="shared" si="228"/>
        <v>0</v>
      </c>
      <c r="L1286" s="66">
        <f t="shared" si="236"/>
        <v>0</v>
      </c>
      <c r="M1286" s="67">
        <f t="shared" si="229"/>
        <v>0</v>
      </c>
      <c r="N1286" s="66">
        <f t="shared" si="236"/>
        <v>0</v>
      </c>
      <c r="O1286" s="67">
        <f t="shared" si="226"/>
        <v>0</v>
      </c>
    </row>
    <row r="1287" spans="1:15" ht="33" hidden="1" x14ac:dyDescent="0.2">
      <c r="A1287" s="64" t="str">
        <f ca="1">IF(ISERROR(MATCH(F1287,Код_КВР,0)),"",INDIRECT(ADDRESS(MATCH(F1287,Код_КВР,0)+1,2,,,"КВР")))</f>
        <v>Капитальные вложения в объекты государственной (муниципальной) собственности</v>
      </c>
      <c r="B1287" s="26">
        <v>811</v>
      </c>
      <c r="C1287" s="65" t="s">
        <v>79</v>
      </c>
      <c r="D1287" s="65" t="s">
        <v>73</v>
      </c>
      <c r="E1287" s="26" t="s">
        <v>364</v>
      </c>
      <c r="F1287" s="26">
        <v>400</v>
      </c>
      <c r="G1287" s="66">
        <f t="shared" si="235"/>
        <v>0</v>
      </c>
      <c r="H1287" s="66">
        <f t="shared" si="235"/>
        <v>0</v>
      </c>
      <c r="I1287" s="67">
        <f t="shared" si="225"/>
        <v>0</v>
      </c>
      <c r="J1287" s="66">
        <f t="shared" si="235"/>
        <v>0</v>
      </c>
      <c r="K1287" s="67">
        <f t="shared" si="228"/>
        <v>0</v>
      </c>
      <c r="L1287" s="66">
        <f t="shared" si="235"/>
        <v>0</v>
      </c>
      <c r="M1287" s="67">
        <f t="shared" si="229"/>
        <v>0</v>
      </c>
      <c r="N1287" s="66">
        <f t="shared" si="235"/>
        <v>0</v>
      </c>
      <c r="O1287" s="67">
        <f t="shared" si="226"/>
        <v>0</v>
      </c>
    </row>
    <row r="1288" spans="1:15" hidden="1" x14ac:dyDescent="0.2">
      <c r="A1288" s="64" t="str">
        <f ca="1">IF(ISERROR(MATCH(F1288,Код_КВР,0)),"",INDIRECT(ADDRESS(MATCH(F1288,Код_КВР,0)+1,2,,,"КВР")))</f>
        <v>Бюджетные инвестиции</v>
      </c>
      <c r="B1288" s="26">
        <v>811</v>
      </c>
      <c r="C1288" s="65" t="s">
        <v>79</v>
      </c>
      <c r="D1288" s="65" t="s">
        <v>73</v>
      </c>
      <c r="E1288" s="26" t="s">
        <v>364</v>
      </c>
      <c r="F1288" s="26">
        <v>410</v>
      </c>
      <c r="G1288" s="66"/>
      <c r="H1288" s="66"/>
      <c r="I1288" s="67">
        <f t="shared" si="225"/>
        <v>0</v>
      </c>
      <c r="J1288" s="66"/>
      <c r="K1288" s="67">
        <f t="shared" si="228"/>
        <v>0</v>
      </c>
      <c r="L1288" s="66"/>
      <c r="M1288" s="67">
        <f t="shared" si="229"/>
        <v>0</v>
      </c>
      <c r="N1288" s="66"/>
      <c r="O1288" s="67">
        <f t="shared" si="226"/>
        <v>0</v>
      </c>
    </row>
    <row r="1289" spans="1:15" x14ac:dyDescent="0.2">
      <c r="A1289" s="64" t="str">
        <f ca="1">IF(ISERROR(MATCH(C1289,Код_Раздел,0)),"",INDIRECT(ADDRESS(MATCH(C1289,Код_Раздел,0)+1,2,,,"Раздел")))</f>
        <v>Социальная политика</v>
      </c>
      <c r="B1289" s="26">
        <v>811</v>
      </c>
      <c r="C1289" s="65" t="s">
        <v>53</v>
      </c>
      <c r="D1289" s="65"/>
      <c r="E1289" s="26"/>
      <c r="F1289" s="26"/>
      <c r="G1289" s="66">
        <f t="shared" ref="G1289:N1301" si="237">G1290</f>
        <v>10296.299999999999</v>
      </c>
      <c r="H1289" s="66">
        <f t="shared" si="237"/>
        <v>0</v>
      </c>
      <c r="I1289" s="67">
        <f t="shared" si="225"/>
        <v>10296.299999999999</v>
      </c>
      <c r="J1289" s="66">
        <f t="shared" si="237"/>
        <v>0</v>
      </c>
      <c r="K1289" s="67">
        <f t="shared" si="228"/>
        <v>10296.299999999999</v>
      </c>
      <c r="L1289" s="66">
        <f t="shared" si="237"/>
        <v>0</v>
      </c>
      <c r="M1289" s="67">
        <f t="shared" si="229"/>
        <v>10296.299999999999</v>
      </c>
      <c r="N1289" s="66">
        <f t="shared" si="237"/>
        <v>0</v>
      </c>
      <c r="O1289" s="67">
        <f t="shared" si="226"/>
        <v>10296.299999999999</v>
      </c>
    </row>
    <row r="1290" spans="1:15" x14ac:dyDescent="0.2">
      <c r="A1290" s="74" t="s">
        <v>54</v>
      </c>
      <c r="B1290" s="26">
        <v>811</v>
      </c>
      <c r="C1290" s="65" t="s">
        <v>53</v>
      </c>
      <c r="D1290" s="65" t="s">
        <v>74</v>
      </c>
      <c r="E1290" s="26"/>
      <c r="F1290" s="26"/>
      <c r="G1290" s="66">
        <f t="shared" si="237"/>
        <v>10296.299999999999</v>
      </c>
      <c r="H1290" s="66">
        <f t="shared" si="237"/>
        <v>0</v>
      </c>
      <c r="I1290" s="67">
        <f t="shared" si="225"/>
        <v>10296.299999999999</v>
      </c>
      <c r="J1290" s="66">
        <f t="shared" si="237"/>
        <v>0</v>
      </c>
      <c r="K1290" s="67">
        <f t="shared" si="228"/>
        <v>10296.299999999999</v>
      </c>
      <c r="L1290" s="66">
        <f t="shared" si="237"/>
        <v>0</v>
      </c>
      <c r="M1290" s="67">
        <f t="shared" si="229"/>
        <v>10296.299999999999</v>
      </c>
      <c r="N1290" s="66">
        <f t="shared" si="237"/>
        <v>0</v>
      </c>
      <c r="O1290" s="67">
        <f t="shared" si="226"/>
        <v>10296.299999999999</v>
      </c>
    </row>
    <row r="1291" spans="1:15" ht="33" x14ac:dyDescent="0.2">
      <c r="A1291" s="64" t="str">
        <f ca="1">IF(ISERROR(MATCH(E1291,Код_КЦСР,0)),"",INDIRECT(ADDRESS(MATCH(E1291,Код_КЦСР,0)+1,2,,,"КЦСР")))</f>
        <v>Муниципальная программа «Социальная поддержка граждан» на 2014 – 2022 годы</v>
      </c>
      <c r="B1291" s="26">
        <v>811</v>
      </c>
      <c r="C1291" s="65" t="s">
        <v>53</v>
      </c>
      <c r="D1291" s="65" t="s">
        <v>74</v>
      </c>
      <c r="E1291" s="26" t="s">
        <v>311</v>
      </c>
      <c r="F1291" s="26"/>
      <c r="G1291" s="66">
        <f>G1292+G1303</f>
        <v>10296.299999999999</v>
      </c>
      <c r="H1291" s="66">
        <f>H1292+H1303</f>
        <v>0</v>
      </c>
      <c r="I1291" s="67">
        <f t="shared" si="225"/>
        <v>10296.299999999999</v>
      </c>
      <c r="J1291" s="66">
        <f>J1292+J1303</f>
        <v>0</v>
      </c>
      <c r="K1291" s="67">
        <f t="shared" si="228"/>
        <v>10296.299999999999</v>
      </c>
      <c r="L1291" s="66">
        <f>L1292+L1303</f>
        <v>0</v>
      </c>
      <c r="M1291" s="67">
        <f t="shared" si="229"/>
        <v>10296.299999999999</v>
      </c>
      <c r="N1291" s="66">
        <f>N1292+N1303</f>
        <v>0</v>
      </c>
      <c r="O1291" s="67">
        <f t="shared" si="226"/>
        <v>10296.299999999999</v>
      </c>
    </row>
    <row r="1292" spans="1:15" ht="49.5" x14ac:dyDescent="0.2">
      <c r="A1292" s="64" t="str">
        <f ca="1">IF(ISERROR(MATCH(E1292,Код_КЦСР,0)),"",INDIRECT(ADDRESS(MATCH(E1292,Код_КЦСР,0)+1,2,,,"КЦСР")))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v>
      </c>
      <c r="B1292" s="26">
        <v>811</v>
      </c>
      <c r="C1292" s="65" t="s">
        <v>53</v>
      </c>
      <c r="D1292" s="65" t="s">
        <v>74</v>
      </c>
      <c r="E1292" s="26" t="s">
        <v>484</v>
      </c>
      <c r="F1292" s="26"/>
      <c r="G1292" s="66">
        <f>G1298+G1293</f>
        <v>1322.8</v>
      </c>
      <c r="H1292" s="66">
        <f>H1298+H1293</f>
        <v>0</v>
      </c>
      <c r="I1292" s="67">
        <f t="shared" si="225"/>
        <v>1322.8</v>
      </c>
      <c r="J1292" s="66">
        <f>J1298+J1293</f>
        <v>0</v>
      </c>
      <c r="K1292" s="67">
        <f t="shared" si="228"/>
        <v>1322.8</v>
      </c>
      <c r="L1292" s="66">
        <f>L1298+L1293</f>
        <v>0</v>
      </c>
      <c r="M1292" s="67">
        <f t="shared" si="229"/>
        <v>1322.8</v>
      </c>
      <c r="N1292" s="66">
        <f>N1298+N1293</f>
        <v>0</v>
      </c>
      <c r="O1292" s="67">
        <f t="shared" si="226"/>
        <v>1322.8</v>
      </c>
    </row>
    <row r="1293" spans="1:15" ht="66" x14ac:dyDescent="0.2">
      <c r="A1293" s="64" t="str">
        <f ca="1">IF(ISERROR(MATCH(E1293,Код_КЦСР,0)),"",INDIRECT(ADDRESS(MATCH(E1293,Код_КЦСР,0)+1,2,,,"КЦСР")))</f>
        <v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отдыха, в рамках софинансирования с областным бюджетом </v>
      </c>
      <c r="B1293" s="26">
        <v>811</v>
      </c>
      <c r="C1293" s="65" t="s">
        <v>53</v>
      </c>
      <c r="D1293" s="65" t="s">
        <v>74</v>
      </c>
      <c r="E1293" s="26" t="s">
        <v>496</v>
      </c>
      <c r="F1293" s="26"/>
      <c r="G1293" s="66">
        <f>G1296+G1294</f>
        <v>26.5</v>
      </c>
      <c r="H1293" s="66">
        <f>H1296+H1294</f>
        <v>0</v>
      </c>
      <c r="I1293" s="67">
        <f t="shared" ref="I1293:I1325" si="238">G1293+H1293</f>
        <v>26.5</v>
      </c>
      <c r="J1293" s="66">
        <f>J1296+J1294</f>
        <v>0</v>
      </c>
      <c r="K1293" s="67">
        <f t="shared" si="228"/>
        <v>26.5</v>
      </c>
      <c r="L1293" s="66">
        <f>L1296+L1294</f>
        <v>0</v>
      </c>
      <c r="M1293" s="67">
        <f t="shared" si="229"/>
        <v>26.5</v>
      </c>
      <c r="N1293" s="66">
        <f>N1296+N1294</f>
        <v>0</v>
      </c>
      <c r="O1293" s="67">
        <f t="shared" si="226"/>
        <v>26.5</v>
      </c>
    </row>
    <row r="1294" spans="1:15" ht="33" x14ac:dyDescent="0.2">
      <c r="A1294" s="64" t="str">
        <f ca="1">IF(ISERROR(MATCH(F1294,Код_КВР,0)),"",INDIRECT(ADDRESS(MATCH(F1294,Код_КВР,0)+1,2,,,"КВР")))</f>
        <v>Закупка товаров, работ и услуг для обеспечения государственных (муниципальных) нужд</v>
      </c>
      <c r="B1294" s="26">
        <v>811</v>
      </c>
      <c r="C1294" s="65" t="s">
        <v>53</v>
      </c>
      <c r="D1294" s="65" t="s">
        <v>74</v>
      </c>
      <c r="E1294" s="26" t="s">
        <v>496</v>
      </c>
      <c r="F1294" s="26">
        <v>200</v>
      </c>
      <c r="G1294" s="66">
        <f>G1295</f>
        <v>26.5</v>
      </c>
      <c r="H1294" s="66">
        <f>H1295</f>
        <v>0</v>
      </c>
      <c r="I1294" s="67">
        <f t="shared" si="238"/>
        <v>26.5</v>
      </c>
      <c r="J1294" s="66">
        <f>J1295</f>
        <v>0</v>
      </c>
      <c r="K1294" s="67">
        <f t="shared" si="228"/>
        <v>26.5</v>
      </c>
      <c r="L1294" s="66">
        <f>L1295</f>
        <v>0</v>
      </c>
      <c r="M1294" s="67">
        <f t="shared" si="229"/>
        <v>26.5</v>
      </c>
      <c r="N1294" s="66">
        <f>N1295</f>
        <v>0</v>
      </c>
      <c r="O1294" s="67">
        <f t="shared" si="226"/>
        <v>26.5</v>
      </c>
    </row>
    <row r="1295" spans="1:15" ht="33" x14ac:dyDescent="0.2">
      <c r="A1295" s="64" t="str">
        <f ca="1">IF(ISERROR(MATCH(F1295,Код_КВР,0)),"",INDIRECT(ADDRESS(MATCH(F1295,Код_КВР,0)+1,2,,,"КВР")))</f>
        <v>Иные закупки товаров, работ и услуг для обеспечения государственных (муниципальных) нужд</v>
      </c>
      <c r="B1295" s="26">
        <v>811</v>
      </c>
      <c r="C1295" s="65" t="s">
        <v>53</v>
      </c>
      <c r="D1295" s="65" t="s">
        <v>74</v>
      </c>
      <c r="E1295" s="26" t="s">
        <v>496</v>
      </c>
      <c r="F1295" s="26">
        <v>240</v>
      </c>
      <c r="G1295" s="66">
        <v>26.5</v>
      </c>
      <c r="H1295" s="66"/>
      <c r="I1295" s="67">
        <f t="shared" si="238"/>
        <v>26.5</v>
      </c>
      <c r="J1295" s="66"/>
      <c r="K1295" s="67">
        <f t="shared" si="228"/>
        <v>26.5</v>
      </c>
      <c r="L1295" s="66"/>
      <c r="M1295" s="67">
        <f t="shared" si="229"/>
        <v>26.5</v>
      </c>
      <c r="N1295" s="66"/>
      <c r="O1295" s="67">
        <f t="shared" si="226"/>
        <v>26.5</v>
      </c>
    </row>
    <row r="1296" spans="1:15" ht="33" hidden="1" x14ac:dyDescent="0.2">
      <c r="A1296" s="64" t="str">
        <f ca="1">IF(ISERROR(MATCH(F1296,Код_КВР,0)),"",INDIRECT(ADDRESS(MATCH(F1296,Код_КВР,0)+1,2,,,"КВР")))</f>
        <v>Капитальные вложения в объекты государственной (муниципальной) собственности</v>
      </c>
      <c r="B1296" s="26">
        <v>811</v>
      </c>
      <c r="C1296" s="65" t="s">
        <v>53</v>
      </c>
      <c r="D1296" s="65" t="s">
        <v>74</v>
      </c>
      <c r="E1296" s="26" t="s">
        <v>496</v>
      </c>
      <c r="F1296" s="26">
        <v>400</v>
      </c>
      <c r="G1296" s="66">
        <f t="shared" si="237"/>
        <v>0</v>
      </c>
      <c r="H1296" s="66">
        <f t="shared" si="237"/>
        <v>0</v>
      </c>
      <c r="I1296" s="67">
        <f t="shared" si="238"/>
        <v>0</v>
      </c>
      <c r="J1296" s="66">
        <f t="shared" si="237"/>
        <v>0</v>
      </c>
      <c r="K1296" s="67">
        <f t="shared" si="228"/>
        <v>0</v>
      </c>
      <c r="L1296" s="66">
        <f t="shared" si="237"/>
        <v>0</v>
      </c>
      <c r="M1296" s="67">
        <f t="shared" si="229"/>
        <v>0</v>
      </c>
      <c r="N1296" s="66">
        <f t="shared" si="237"/>
        <v>0</v>
      </c>
      <c r="O1296" s="67">
        <f t="shared" si="226"/>
        <v>0</v>
      </c>
    </row>
    <row r="1297" spans="1:15" hidden="1" x14ac:dyDescent="0.2">
      <c r="A1297" s="64" t="str">
        <f ca="1">IF(ISERROR(MATCH(F1297,Код_КВР,0)),"",INDIRECT(ADDRESS(MATCH(F1297,Код_КВР,0)+1,2,,,"КВР")))</f>
        <v>Бюджетные инвестиции</v>
      </c>
      <c r="B1297" s="26">
        <v>811</v>
      </c>
      <c r="C1297" s="65" t="s">
        <v>53</v>
      </c>
      <c r="D1297" s="65" t="s">
        <v>74</v>
      </c>
      <c r="E1297" s="26" t="s">
        <v>496</v>
      </c>
      <c r="F1297" s="26">
        <v>410</v>
      </c>
      <c r="G1297" s="66"/>
      <c r="H1297" s="66"/>
      <c r="I1297" s="67">
        <f t="shared" si="238"/>
        <v>0</v>
      </c>
      <c r="J1297" s="66"/>
      <c r="K1297" s="67">
        <f t="shared" si="228"/>
        <v>0</v>
      </c>
      <c r="L1297" s="66"/>
      <c r="M1297" s="67">
        <f t="shared" si="229"/>
        <v>0</v>
      </c>
      <c r="N1297" s="66"/>
      <c r="O1297" s="67">
        <f t="shared" si="226"/>
        <v>0</v>
      </c>
    </row>
    <row r="1298" spans="1:15" ht="66" x14ac:dyDescent="0.2">
      <c r="A1298" s="64" t="str">
        <f ca="1">IF(ISERROR(MATCH(E1298,Код_КЦСР,0)),"",INDIRECT(ADDRESS(MATCH(E1298,Код_КЦСР,0)+1,2,,,"КЦСР")))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отдыха, за счет средств областного бюджета</v>
      </c>
      <c r="B1298" s="26">
        <v>811</v>
      </c>
      <c r="C1298" s="65" t="s">
        <v>53</v>
      </c>
      <c r="D1298" s="65" t="s">
        <v>74</v>
      </c>
      <c r="E1298" s="26" t="s">
        <v>486</v>
      </c>
      <c r="F1298" s="26"/>
      <c r="G1298" s="66">
        <f>G1301+G1299</f>
        <v>1296.3</v>
      </c>
      <c r="H1298" s="66">
        <f>H1301+H1299</f>
        <v>0</v>
      </c>
      <c r="I1298" s="67">
        <f t="shared" si="238"/>
        <v>1296.3</v>
      </c>
      <c r="J1298" s="66">
        <f>J1301+J1299</f>
        <v>0</v>
      </c>
      <c r="K1298" s="67">
        <f t="shared" si="228"/>
        <v>1296.3</v>
      </c>
      <c r="L1298" s="66">
        <f>L1301+L1299</f>
        <v>0</v>
      </c>
      <c r="M1298" s="67">
        <f t="shared" si="229"/>
        <v>1296.3</v>
      </c>
      <c r="N1298" s="66">
        <f>N1301+N1299</f>
        <v>0</v>
      </c>
      <c r="O1298" s="67">
        <f t="shared" si="226"/>
        <v>1296.3</v>
      </c>
    </row>
    <row r="1299" spans="1:15" ht="33" x14ac:dyDescent="0.2">
      <c r="A1299" s="64" t="str">
        <f ca="1">IF(ISERROR(MATCH(F1299,Код_КВР,0)),"",INDIRECT(ADDRESS(MATCH(F1299,Код_КВР,0)+1,2,,,"КВР")))</f>
        <v>Закупка товаров, работ и услуг для обеспечения государственных (муниципальных) нужд</v>
      </c>
      <c r="B1299" s="26">
        <v>811</v>
      </c>
      <c r="C1299" s="65" t="s">
        <v>53</v>
      </c>
      <c r="D1299" s="65" t="s">
        <v>74</v>
      </c>
      <c r="E1299" s="26" t="s">
        <v>486</v>
      </c>
      <c r="F1299" s="26">
        <v>200</v>
      </c>
      <c r="G1299" s="66">
        <f>G1300</f>
        <v>1296.3</v>
      </c>
      <c r="H1299" s="66">
        <f>H1300</f>
        <v>0</v>
      </c>
      <c r="I1299" s="67">
        <f t="shared" si="238"/>
        <v>1296.3</v>
      </c>
      <c r="J1299" s="66">
        <f>J1300</f>
        <v>0</v>
      </c>
      <c r="K1299" s="67">
        <f t="shared" si="228"/>
        <v>1296.3</v>
      </c>
      <c r="L1299" s="66">
        <f>L1300</f>
        <v>0</v>
      </c>
      <c r="M1299" s="67">
        <f t="shared" si="229"/>
        <v>1296.3</v>
      </c>
      <c r="N1299" s="66">
        <f>N1300</f>
        <v>0</v>
      </c>
      <c r="O1299" s="67">
        <f t="shared" ref="O1299:O1322" si="239">M1299+N1299</f>
        <v>1296.3</v>
      </c>
    </row>
    <row r="1300" spans="1:15" ht="33" x14ac:dyDescent="0.2">
      <c r="A1300" s="64" t="str">
        <f ca="1">IF(ISERROR(MATCH(F1300,Код_КВР,0)),"",INDIRECT(ADDRESS(MATCH(F1300,Код_КВР,0)+1,2,,,"КВР")))</f>
        <v>Иные закупки товаров, работ и услуг для обеспечения государственных (муниципальных) нужд</v>
      </c>
      <c r="B1300" s="26">
        <v>811</v>
      </c>
      <c r="C1300" s="65" t="s">
        <v>53</v>
      </c>
      <c r="D1300" s="65" t="s">
        <v>74</v>
      </c>
      <c r="E1300" s="26" t="s">
        <v>486</v>
      </c>
      <c r="F1300" s="26">
        <v>240</v>
      </c>
      <c r="G1300" s="66">
        <v>1296.3</v>
      </c>
      <c r="H1300" s="66"/>
      <c r="I1300" s="67">
        <f t="shared" si="238"/>
        <v>1296.3</v>
      </c>
      <c r="J1300" s="66"/>
      <c r="K1300" s="67">
        <f t="shared" si="228"/>
        <v>1296.3</v>
      </c>
      <c r="L1300" s="66"/>
      <c r="M1300" s="67">
        <f t="shared" si="229"/>
        <v>1296.3</v>
      </c>
      <c r="N1300" s="66"/>
      <c r="O1300" s="67">
        <f t="shared" si="239"/>
        <v>1296.3</v>
      </c>
    </row>
    <row r="1301" spans="1:15" ht="33" hidden="1" x14ac:dyDescent="0.2">
      <c r="A1301" s="64" t="str">
        <f ca="1">IF(ISERROR(MATCH(F1301,Код_КВР,0)),"",INDIRECT(ADDRESS(MATCH(F1301,Код_КВР,0)+1,2,,,"КВР")))</f>
        <v>Капитальные вложения в объекты государственной (муниципальной) собственности</v>
      </c>
      <c r="B1301" s="26">
        <v>811</v>
      </c>
      <c r="C1301" s="65" t="s">
        <v>53</v>
      </c>
      <c r="D1301" s="65" t="s">
        <v>74</v>
      </c>
      <c r="E1301" s="26" t="s">
        <v>486</v>
      </c>
      <c r="F1301" s="26">
        <v>400</v>
      </c>
      <c r="G1301" s="66">
        <f t="shared" si="237"/>
        <v>0</v>
      </c>
      <c r="H1301" s="66">
        <f t="shared" si="237"/>
        <v>0</v>
      </c>
      <c r="I1301" s="67">
        <f t="shared" si="238"/>
        <v>0</v>
      </c>
      <c r="J1301" s="66">
        <f t="shared" si="237"/>
        <v>0</v>
      </c>
      <c r="K1301" s="67">
        <f t="shared" si="228"/>
        <v>0</v>
      </c>
      <c r="L1301" s="66">
        <f t="shared" si="237"/>
        <v>0</v>
      </c>
      <c r="M1301" s="67">
        <f t="shared" si="229"/>
        <v>0</v>
      </c>
      <c r="N1301" s="66">
        <f t="shared" si="237"/>
        <v>0</v>
      </c>
      <c r="O1301" s="67">
        <f t="shared" si="239"/>
        <v>0</v>
      </c>
    </row>
    <row r="1302" spans="1:15" hidden="1" x14ac:dyDescent="0.2">
      <c r="A1302" s="64" t="str">
        <f ca="1">IF(ISERROR(MATCH(F1302,Код_КВР,0)),"",INDIRECT(ADDRESS(MATCH(F1302,Код_КВР,0)+1,2,,,"КВР")))</f>
        <v>Бюджетные инвестиции</v>
      </c>
      <c r="B1302" s="26">
        <v>811</v>
      </c>
      <c r="C1302" s="65" t="s">
        <v>53</v>
      </c>
      <c r="D1302" s="65" t="s">
        <v>74</v>
      </c>
      <c r="E1302" s="26" t="s">
        <v>486</v>
      </c>
      <c r="F1302" s="26">
        <v>410</v>
      </c>
      <c r="G1302" s="66"/>
      <c r="H1302" s="66"/>
      <c r="I1302" s="67">
        <f t="shared" si="238"/>
        <v>0</v>
      </c>
      <c r="J1302" s="66"/>
      <c r="K1302" s="67">
        <f t="shared" si="228"/>
        <v>0</v>
      </c>
      <c r="L1302" s="66"/>
      <c r="M1302" s="67">
        <f t="shared" si="229"/>
        <v>0</v>
      </c>
      <c r="N1302" s="66"/>
      <c r="O1302" s="67">
        <f t="shared" si="239"/>
        <v>0</v>
      </c>
    </row>
    <row r="1303" spans="1:15" ht="33" customHeight="1" x14ac:dyDescent="0.2">
      <c r="A1303" s="64" t="str">
        <f ca="1">IF(ISERROR(MATCH(E1303,Код_КЦСР,0)),"",INDIRECT(ADDRESS(MATCH(E1303,Код_КЦСР,0)+1,2,,,"КЦСР")))</f>
        <v>Укрепление материально-технической базы в загородных оздоровительных учреждениях</v>
      </c>
      <c r="B1303" s="26">
        <v>811</v>
      </c>
      <c r="C1303" s="65" t="s">
        <v>53</v>
      </c>
      <c r="D1303" s="65" t="s">
        <v>74</v>
      </c>
      <c r="E1303" s="26" t="s">
        <v>575</v>
      </c>
      <c r="F1303" s="26"/>
      <c r="G1303" s="66">
        <f>G1304</f>
        <v>8973.5</v>
      </c>
      <c r="H1303" s="66">
        <f>H1304</f>
        <v>0</v>
      </c>
      <c r="I1303" s="67">
        <f t="shared" si="238"/>
        <v>8973.5</v>
      </c>
      <c r="J1303" s="66">
        <f>J1304</f>
        <v>0</v>
      </c>
      <c r="K1303" s="67">
        <f t="shared" si="228"/>
        <v>8973.5</v>
      </c>
      <c r="L1303" s="66">
        <f>L1304</f>
        <v>0</v>
      </c>
      <c r="M1303" s="67">
        <f t="shared" si="229"/>
        <v>8973.5</v>
      </c>
      <c r="N1303" s="66">
        <f>N1304</f>
        <v>0</v>
      </c>
      <c r="O1303" s="67">
        <f t="shared" si="239"/>
        <v>8973.5</v>
      </c>
    </row>
    <row r="1304" spans="1:15" ht="33" x14ac:dyDescent="0.2">
      <c r="A1304" s="64" t="str">
        <f ca="1">IF(ISERROR(MATCH(F1304,Код_КВР,0)),"",INDIRECT(ADDRESS(MATCH(F1304,Код_КВР,0)+1,2,,,"КВР")))</f>
        <v>Закупка товаров, работ и услуг для обеспечения государственных (муниципальных) нужд</v>
      </c>
      <c r="B1304" s="26">
        <v>811</v>
      </c>
      <c r="C1304" s="65" t="s">
        <v>53</v>
      </c>
      <c r="D1304" s="65" t="s">
        <v>74</v>
      </c>
      <c r="E1304" s="26" t="s">
        <v>575</v>
      </c>
      <c r="F1304" s="26">
        <v>200</v>
      </c>
      <c r="G1304" s="66">
        <f>G1305</f>
        <v>8973.5</v>
      </c>
      <c r="H1304" s="66">
        <f>H1305</f>
        <v>0</v>
      </c>
      <c r="I1304" s="67">
        <f t="shared" si="238"/>
        <v>8973.5</v>
      </c>
      <c r="J1304" s="66">
        <f>J1305</f>
        <v>0</v>
      </c>
      <c r="K1304" s="67">
        <f t="shared" si="228"/>
        <v>8973.5</v>
      </c>
      <c r="L1304" s="66">
        <f>L1305</f>
        <v>0</v>
      </c>
      <c r="M1304" s="67">
        <f t="shared" si="229"/>
        <v>8973.5</v>
      </c>
      <c r="N1304" s="66">
        <f>N1305</f>
        <v>0</v>
      </c>
      <c r="O1304" s="67">
        <f t="shared" si="239"/>
        <v>8973.5</v>
      </c>
    </row>
    <row r="1305" spans="1:15" ht="33" x14ac:dyDescent="0.2">
      <c r="A1305" s="64" t="str">
        <f ca="1">IF(ISERROR(MATCH(F1305,Код_КВР,0)),"",INDIRECT(ADDRESS(MATCH(F1305,Код_КВР,0)+1,2,,,"КВР")))</f>
        <v>Иные закупки товаров, работ и услуг для обеспечения государственных (муниципальных) нужд</v>
      </c>
      <c r="B1305" s="26">
        <v>811</v>
      </c>
      <c r="C1305" s="65" t="s">
        <v>53</v>
      </c>
      <c r="D1305" s="65" t="s">
        <v>74</v>
      </c>
      <c r="E1305" s="26" t="s">
        <v>575</v>
      </c>
      <c r="F1305" s="26">
        <v>240</v>
      </c>
      <c r="G1305" s="66">
        <v>8973.5</v>
      </c>
      <c r="H1305" s="66"/>
      <c r="I1305" s="67">
        <f t="shared" si="238"/>
        <v>8973.5</v>
      </c>
      <c r="J1305" s="66"/>
      <c r="K1305" s="67">
        <f t="shared" si="228"/>
        <v>8973.5</v>
      </c>
      <c r="L1305" s="66"/>
      <c r="M1305" s="67">
        <f t="shared" si="229"/>
        <v>8973.5</v>
      </c>
      <c r="N1305" s="66"/>
      <c r="O1305" s="67">
        <f t="shared" si="239"/>
        <v>8973.5</v>
      </c>
    </row>
    <row r="1306" spans="1:15" ht="22.5" customHeight="1" x14ac:dyDescent="0.2">
      <c r="A1306" s="64" t="str">
        <f ca="1">IF(ISERROR(MATCH(B1306,Код_ППП,0)),"",INDIRECT(ADDRESS(MATCH(B1306,Код_ППП,0)+1,2,,,"ППП")))</f>
        <v xml:space="preserve">КОНТРОЛЬНО-СЧЕТНАЯ ПАЛАТА ГОРОДА ЧЕРЕПОВЦА </v>
      </c>
      <c r="B1306" s="26">
        <v>812</v>
      </c>
      <c r="C1306" s="65"/>
      <c r="D1306" s="65"/>
      <c r="E1306" s="26"/>
      <c r="F1306" s="26"/>
      <c r="G1306" s="66">
        <f>G1307+G1316</f>
        <v>11616.799999999997</v>
      </c>
      <c r="H1306" s="66">
        <f>H1307+H1316</f>
        <v>0</v>
      </c>
      <c r="I1306" s="67">
        <f t="shared" si="238"/>
        <v>11616.799999999997</v>
      </c>
      <c r="J1306" s="66">
        <f>J1307+J1316</f>
        <v>0</v>
      </c>
      <c r="K1306" s="67">
        <f t="shared" si="228"/>
        <v>11616.799999999997</v>
      </c>
      <c r="L1306" s="66">
        <f>L1307+L1316</f>
        <v>0</v>
      </c>
      <c r="M1306" s="67">
        <f t="shared" si="229"/>
        <v>11616.799999999997</v>
      </c>
      <c r="N1306" s="66">
        <f>N1307+N1316</f>
        <v>0</v>
      </c>
      <c r="O1306" s="67">
        <f t="shared" si="239"/>
        <v>11616.799999999997</v>
      </c>
    </row>
    <row r="1307" spans="1:15" x14ac:dyDescent="0.2">
      <c r="A1307" s="64" t="str">
        <f ca="1">IF(ISERROR(MATCH(C1307,Код_Раздел,0)),"",INDIRECT(ADDRESS(MATCH(C1307,Код_Раздел,0)+1,2,,,"Раздел")))</f>
        <v>Общегосударственные вопросы</v>
      </c>
      <c r="B1307" s="26">
        <v>812</v>
      </c>
      <c r="C1307" s="65" t="s">
        <v>70</v>
      </c>
      <c r="D1307" s="65"/>
      <c r="E1307" s="26"/>
      <c r="F1307" s="26"/>
      <c r="G1307" s="66">
        <f>G1308</f>
        <v>11561.799999999997</v>
      </c>
      <c r="H1307" s="66">
        <f>H1308</f>
        <v>0</v>
      </c>
      <c r="I1307" s="67">
        <f t="shared" si="238"/>
        <v>11561.799999999997</v>
      </c>
      <c r="J1307" s="66">
        <f>J1308</f>
        <v>0</v>
      </c>
      <c r="K1307" s="67">
        <f t="shared" si="228"/>
        <v>11561.799999999997</v>
      </c>
      <c r="L1307" s="66">
        <f>L1308</f>
        <v>0</v>
      </c>
      <c r="M1307" s="67">
        <f t="shared" si="229"/>
        <v>11561.799999999997</v>
      </c>
      <c r="N1307" s="66">
        <f>N1308</f>
        <v>0</v>
      </c>
      <c r="O1307" s="67">
        <f t="shared" si="239"/>
        <v>11561.799999999997</v>
      </c>
    </row>
    <row r="1308" spans="1:15" ht="33" x14ac:dyDescent="0.2">
      <c r="A1308" s="74" t="s">
        <v>36</v>
      </c>
      <c r="B1308" s="26">
        <v>812</v>
      </c>
      <c r="C1308" s="65" t="s">
        <v>70</v>
      </c>
      <c r="D1308" s="65" t="s">
        <v>74</v>
      </c>
      <c r="E1308" s="26"/>
      <c r="F1308" s="26"/>
      <c r="G1308" s="66">
        <f>G1309</f>
        <v>11561.799999999997</v>
      </c>
      <c r="H1308" s="66">
        <f>H1309</f>
        <v>0</v>
      </c>
      <c r="I1308" s="67">
        <f t="shared" si="238"/>
        <v>11561.799999999997</v>
      </c>
      <c r="J1308" s="66">
        <f>J1309</f>
        <v>0</v>
      </c>
      <c r="K1308" s="67">
        <f t="shared" si="228"/>
        <v>11561.799999999997</v>
      </c>
      <c r="L1308" s="66">
        <f>L1309</f>
        <v>0</v>
      </c>
      <c r="M1308" s="67">
        <f t="shared" si="229"/>
        <v>11561.799999999997</v>
      </c>
      <c r="N1308" s="66">
        <f>N1309</f>
        <v>0</v>
      </c>
      <c r="O1308" s="67">
        <f t="shared" si="239"/>
        <v>11561.799999999997</v>
      </c>
    </row>
    <row r="1309" spans="1:15" x14ac:dyDescent="0.2">
      <c r="A1309" s="64" t="str">
        <f ca="1">IF(ISERROR(MATCH(E1309,Код_КЦСР,0)),"",INDIRECT(ADDRESS(MATCH(E1309,Код_КЦСР,0)+1,2,,,"КЦСР")))</f>
        <v>Расходы, не включенные в муниципальные программы города Череповца</v>
      </c>
      <c r="B1309" s="26">
        <v>812</v>
      </c>
      <c r="C1309" s="65" t="s">
        <v>70</v>
      </c>
      <c r="D1309" s="65" t="s">
        <v>74</v>
      </c>
      <c r="E1309" s="26" t="s">
        <v>399</v>
      </c>
      <c r="F1309" s="26"/>
      <c r="G1309" s="88">
        <f t="shared" ref="G1309:N1310" si="240">G1310</f>
        <v>11561.799999999997</v>
      </c>
      <c r="H1309" s="88">
        <f t="shared" si="240"/>
        <v>0</v>
      </c>
      <c r="I1309" s="67">
        <f t="shared" si="238"/>
        <v>11561.799999999997</v>
      </c>
      <c r="J1309" s="88">
        <f t="shared" si="240"/>
        <v>0</v>
      </c>
      <c r="K1309" s="67">
        <f t="shared" si="228"/>
        <v>11561.799999999997</v>
      </c>
      <c r="L1309" s="88">
        <f t="shared" si="240"/>
        <v>0</v>
      </c>
      <c r="M1309" s="67">
        <f t="shared" si="229"/>
        <v>11561.799999999997</v>
      </c>
      <c r="N1309" s="88">
        <f t="shared" si="240"/>
        <v>0</v>
      </c>
      <c r="O1309" s="67">
        <f t="shared" si="239"/>
        <v>11561.799999999997</v>
      </c>
    </row>
    <row r="1310" spans="1:15" x14ac:dyDescent="0.2">
      <c r="A1310" s="64" t="str">
        <f ca="1">IF(ISERROR(MATCH(E1310,Код_КЦСР,0)),"",INDIRECT(ADDRESS(MATCH(E1310,Код_КЦСР,0)+1,2,,,"КЦСР")))</f>
        <v>Обеспечение деятельности контрольно-счетной палаты города Череповца</v>
      </c>
      <c r="B1310" s="26">
        <v>812</v>
      </c>
      <c r="C1310" s="65" t="s">
        <v>70</v>
      </c>
      <c r="D1310" s="65" t="s">
        <v>74</v>
      </c>
      <c r="E1310" s="26" t="s">
        <v>411</v>
      </c>
      <c r="F1310" s="26"/>
      <c r="G1310" s="66">
        <f t="shared" si="240"/>
        <v>11561.799999999997</v>
      </c>
      <c r="H1310" s="66">
        <f t="shared" si="240"/>
        <v>0</v>
      </c>
      <c r="I1310" s="67">
        <f t="shared" si="238"/>
        <v>11561.799999999997</v>
      </c>
      <c r="J1310" s="66">
        <f t="shared" si="240"/>
        <v>0</v>
      </c>
      <c r="K1310" s="67">
        <f t="shared" si="228"/>
        <v>11561.799999999997</v>
      </c>
      <c r="L1310" s="66">
        <f t="shared" si="240"/>
        <v>0</v>
      </c>
      <c r="M1310" s="67">
        <f t="shared" si="229"/>
        <v>11561.799999999997</v>
      </c>
      <c r="N1310" s="66">
        <f t="shared" si="240"/>
        <v>0</v>
      </c>
      <c r="O1310" s="67">
        <f t="shared" si="239"/>
        <v>11561.799999999997</v>
      </c>
    </row>
    <row r="1311" spans="1:15" x14ac:dyDescent="0.2">
      <c r="A1311" s="64" t="str">
        <f ca="1">IF(ISERROR(MATCH(E1311,Код_КЦСР,0)),"",INDIRECT(ADDRESS(MATCH(E1311,Код_КЦСР,0)+1,2,,,"КЦСР")))</f>
        <v>Расходы на обеспечение функций органов местного самоуправления</v>
      </c>
      <c r="B1311" s="26">
        <v>812</v>
      </c>
      <c r="C1311" s="65" t="s">
        <v>70</v>
      </c>
      <c r="D1311" s="65" t="s">
        <v>74</v>
      </c>
      <c r="E1311" s="26" t="s">
        <v>412</v>
      </c>
      <c r="F1311" s="26"/>
      <c r="G1311" s="66">
        <f>G1312+G1314</f>
        <v>11561.799999999997</v>
      </c>
      <c r="H1311" s="66">
        <f>H1312+H1314</f>
        <v>0</v>
      </c>
      <c r="I1311" s="67">
        <f t="shared" si="238"/>
        <v>11561.799999999997</v>
      </c>
      <c r="J1311" s="66">
        <f>J1312+J1314</f>
        <v>0</v>
      </c>
      <c r="K1311" s="67">
        <f t="shared" si="228"/>
        <v>11561.799999999997</v>
      </c>
      <c r="L1311" s="66">
        <f>L1312+L1314</f>
        <v>0</v>
      </c>
      <c r="M1311" s="67">
        <f t="shared" si="229"/>
        <v>11561.799999999997</v>
      </c>
      <c r="N1311" s="66">
        <f>N1312+N1314</f>
        <v>0</v>
      </c>
      <c r="O1311" s="67">
        <f t="shared" si="239"/>
        <v>11561.799999999997</v>
      </c>
    </row>
    <row r="1312" spans="1:15" ht="49.5" x14ac:dyDescent="0.2">
      <c r="A1312" s="64" t="str">
        <f ca="1">IF(ISERROR(MATCH(F1312,Код_КВР,0)),"",INDIRECT(ADDRESS(MATCH(F1312,Код_КВР,0)+1,2,,,"КВР")))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12" s="26">
        <v>812</v>
      </c>
      <c r="C1312" s="65" t="s">
        <v>70</v>
      </c>
      <c r="D1312" s="65" t="s">
        <v>74</v>
      </c>
      <c r="E1312" s="26" t="s">
        <v>412</v>
      </c>
      <c r="F1312" s="26">
        <v>100</v>
      </c>
      <c r="G1312" s="66">
        <f>G1313</f>
        <v>11545.399999999998</v>
      </c>
      <c r="H1312" s="66">
        <f>H1313</f>
        <v>0</v>
      </c>
      <c r="I1312" s="67">
        <f t="shared" si="238"/>
        <v>11545.399999999998</v>
      </c>
      <c r="J1312" s="66">
        <f>J1313</f>
        <v>0</v>
      </c>
      <c r="K1312" s="67">
        <f t="shared" si="228"/>
        <v>11545.399999999998</v>
      </c>
      <c r="L1312" s="66">
        <f>L1313</f>
        <v>0</v>
      </c>
      <c r="M1312" s="67">
        <f t="shared" si="229"/>
        <v>11545.399999999998</v>
      </c>
      <c r="N1312" s="66">
        <f>N1313</f>
        <v>0</v>
      </c>
      <c r="O1312" s="67">
        <f t="shared" si="239"/>
        <v>11545.399999999998</v>
      </c>
    </row>
    <row r="1313" spans="1:15" x14ac:dyDescent="0.2">
      <c r="A1313" s="64" t="str">
        <f ca="1">IF(ISERROR(MATCH(F1313,Код_КВР,0)),"",INDIRECT(ADDRESS(MATCH(F1313,Код_КВР,0)+1,2,,,"КВР")))</f>
        <v>Расходы на выплаты персоналу государственных (муниципальных) органов</v>
      </c>
      <c r="B1313" s="26">
        <v>812</v>
      </c>
      <c r="C1313" s="65" t="s">
        <v>70</v>
      </c>
      <c r="D1313" s="65" t="s">
        <v>74</v>
      </c>
      <c r="E1313" s="26" t="s">
        <v>412</v>
      </c>
      <c r="F1313" s="26">
        <v>120</v>
      </c>
      <c r="G1313" s="66">
        <f>8745.8+158.4+2641.2</f>
        <v>11545.399999999998</v>
      </c>
      <c r="H1313" s="66"/>
      <c r="I1313" s="67">
        <f t="shared" si="238"/>
        <v>11545.399999999998</v>
      </c>
      <c r="J1313" s="66"/>
      <c r="K1313" s="67">
        <f t="shared" si="228"/>
        <v>11545.399999999998</v>
      </c>
      <c r="L1313" s="66"/>
      <c r="M1313" s="67">
        <f t="shared" si="229"/>
        <v>11545.399999999998</v>
      </c>
      <c r="N1313" s="66"/>
      <c r="O1313" s="67">
        <f t="shared" si="239"/>
        <v>11545.399999999998</v>
      </c>
    </row>
    <row r="1314" spans="1:15" ht="33" x14ac:dyDescent="0.2">
      <c r="A1314" s="64" t="str">
        <f ca="1">IF(ISERROR(MATCH(F1314,Код_КВР,0)),"",INDIRECT(ADDRESS(MATCH(F1314,Код_КВР,0)+1,2,,,"КВР")))</f>
        <v>Закупка товаров, работ и услуг для обеспечения государственных (муниципальных) нужд</v>
      </c>
      <c r="B1314" s="26">
        <v>812</v>
      </c>
      <c r="C1314" s="65" t="s">
        <v>70</v>
      </c>
      <c r="D1314" s="65" t="s">
        <v>74</v>
      </c>
      <c r="E1314" s="26" t="s">
        <v>412</v>
      </c>
      <c r="F1314" s="26">
        <v>200</v>
      </c>
      <c r="G1314" s="66">
        <f>G1315</f>
        <v>16.399999999999999</v>
      </c>
      <c r="H1314" s="66">
        <f>H1315</f>
        <v>0</v>
      </c>
      <c r="I1314" s="67">
        <f t="shared" si="238"/>
        <v>16.399999999999999</v>
      </c>
      <c r="J1314" s="66">
        <f>J1315</f>
        <v>0</v>
      </c>
      <c r="K1314" s="67">
        <f t="shared" ref="K1314:K1325" si="241">I1314+J1314</f>
        <v>16.399999999999999</v>
      </c>
      <c r="L1314" s="66">
        <f>L1315</f>
        <v>0</v>
      </c>
      <c r="M1314" s="67">
        <f t="shared" ref="M1314:M1325" si="242">K1314+L1314</f>
        <v>16.399999999999999</v>
      </c>
      <c r="N1314" s="66">
        <f>N1315</f>
        <v>0</v>
      </c>
      <c r="O1314" s="67">
        <f t="shared" si="239"/>
        <v>16.399999999999999</v>
      </c>
    </row>
    <row r="1315" spans="1:15" ht="33" x14ac:dyDescent="0.2">
      <c r="A1315" s="64" t="str">
        <f ca="1">IF(ISERROR(MATCH(F1315,Код_КВР,0)),"",INDIRECT(ADDRESS(MATCH(F1315,Код_КВР,0)+1,2,,,"КВР")))</f>
        <v>Иные закупки товаров, работ и услуг для обеспечения государственных (муниципальных) нужд</v>
      </c>
      <c r="B1315" s="26">
        <v>812</v>
      </c>
      <c r="C1315" s="65" t="s">
        <v>70</v>
      </c>
      <c r="D1315" s="65" t="s">
        <v>74</v>
      </c>
      <c r="E1315" s="26" t="s">
        <v>412</v>
      </c>
      <c r="F1315" s="26">
        <v>240</v>
      </c>
      <c r="G1315" s="66">
        <v>16.399999999999999</v>
      </c>
      <c r="H1315" s="66"/>
      <c r="I1315" s="67">
        <f t="shared" si="238"/>
        <v>16.399999999999999</v>
      </c>
      <c r="J1315" s="66"/>
      <c r="K1315" s="67">
        <f t="shared" si="241"/>
        <v>16.399999999999999</v>
      </c>
      <c r="L1315" s="66"/>
      <c r="M1315" s="67">
        <f t="shared" si="242"/>
        <v>16.399999999999999</v>
      </c>
      <c r="N1315" s="66"/>
      <c r="O1315" s="67">
        <f t="shared" si="239"/>
        <v>16.399999999999999</v>
      </c>
    </row>
    <row r="1316" spans="1:15" x14ac:dyDescent="0.2">
      <c r="A1316" s="64" t="str">
        <f ca="1">IF(ISERROR(MATCH(C1316,Код_Раздел,0)),"",INDIRECT(ADDRESS(MATCH(C1316,Код_Раздел,0)+1,2,,,"Раздел")))</f>
        <v>Образование</v>
      </c>
      <c r="B1316" s="26">
        <v>812</v>
      </c>
      <c r="C1316" s="65" t="s">
        <v>60</v>
      </c>
      <c r="D1316" s="65"/>
      <c r="E1316" s="26"/>
      <c r="F1316" s="26"/>
      <c r="G1316" s="66">
        <f t="shared" ref="G1316:N1321" si="243">G1317</f>
        <v>55</v>
      </c>
      <c r="H1316" s="66">
        <f t="shared" si="243"/>
        <v>0</v>
      </c>
      <c r="I1316" s="67">
        <f t="shared" si="238"/>
        <v>55</v>
      </c>
      <c r="J1316" s="66">
        <f t="shared" si="243"/>
        <v>0</v>
      </c>
      <c r="K1316" s="67">
        <f t="shared" si="241"/>
        <v>55</v>
      </c>
      <c r="L1316" s="66">
        <f t="shared" si="243"/>
        <v>0</v>
      </c>
      <c r="M1316" s="67">
        <f t="shared" si="242"/>
        <v>55</v>
      </c>
      <c r="N1316" s="66">
        <f t="shared" si="243"/>
        <v>0</v>
      </c>
      <c r="O1316" s="67">
        <f t="shared" si="239"/>
        <v>55</v>
      </c>
    </row>
    <row r="1317" spans="1:15" x14ac:dyDescent="0.2">
      <c r="A1317" s="45" t="s">
        <v>532</v>
      </c>
      <c r="B1317" s="26">
        <v>812</v>
      </c>
      <c r="C1317" s="65" t="s">
        <v>60</v>
      </c>
      <c r="D1317" s="65" t="s">
        <v>78</v>
      </c>
      <c r="E1317" s="26"/>
      <c r="F1317" s="26"/>
      <c r="G1317" s="66">
        <f t="shared" si="243"/>
        <v>55</v>
      </c>
      <c r="H1317" s="66">
        <f t="shared" si="243"/>
        <v>0</v>
      </c>
      <c r="I1317" s="67">
        <f t="shared" si="238"/>
        <v>55</v>
      </c>
      <c r="J1317" s="66">
        <f t="shared" si="243"/>
        <v>0</v>
      </c>
      <c r="K1317" s="67">
        <f t="shared" si="241"/>
        <v>55</v>
      </c>
      <c r="L1317" s="66">
        <f t="shared" si="243"/>
        <v>0</v>
      </c>
      <c r="M1317" s="67">
        <f t="shared" si="242"/>
        <v>55</v>
      </c>
      <c r="N1317" s="66">
        <f t="shared" si="243"/>
        <v>0</v>
      </c>
      <c r="O1317" s="67">
        <f t="shared" si="239"/>
        <v>55</v>
      </c>
    </row>
    <row r="1318" spans="1:15" x14ac:dyDescent="0.2">
      <c r="A1318" s="64" t="str">
        <f ca="1">IF(ISERROR(MATCH(E1318,Код_КЦСР,0)),"",INDIRECT(ADDRESS(MATCH(E1318,Код_КЦСР,0)+1,2,,,"КЦСР")))</f>
        <v>Расходы, не включенные в муниципальные программы города Череповца</v>
      </c>
      <c r="B1318" s="26">
        <v>812</v>
      </c>
      <c r="C1318" s="65" t="s">
        <v>60</v>
      </c>
      <c r="D1318" s="65" t="s">
        <v>78</v>
      </c>
      <c r="E1318" s="26" t="s">
        <v>399</v>
      </c>
      <c r="F1318" s="26"/>
      <c r="G1318" s="88">
        <f t="shared" si="243"/>
        <v>55</v>
      </c>
      <c r="H1318" s="88">
        <f t="shared" si="243"/>
        <v>0</v>
      </c>
      <c r="I1318" s="67">
        <f t="shared" si="238"/>
        <v>55</v>
      </c>
      <c r="J1318" s="88">
        <f t="shared" si="243"/>
        <v>0</v>
      </c>
      <c r="K1318" s="67">
        <f t="shared" si="241"/>
        <v>55</v>
      </c>
      <c r="L1318" s="88">
        <f t="shared" si="243"/>
        <v>0</v>
      </c>
      <c r="M1318" s="67">
        <f t="shared" si="242"/>
        <v>55</v>
      </c>
      <c r="N1318" s="88">
        <f t="shared" si="243"/>
        <v>0</v>
      </c>
      <c r="O1318" s="67">
        <f t="shared" si="239"/>
        <v>55</v>
      </c>
    </row>
    <row r="1319" spans="1:15" x14ac:dyDescent="0.2">
      <c r="A1319" s="64" t="str">
        <f ca="1">IF(ISERROR(MATCH(E1319,Код_КЦСР,0)),"",INDIRECT(ADDRESS(MATCH(E1319,Код_КЦСР,0)+1,2,,,"КЦСР")))</f>
        <v>Обеспечение деятельности контрольно-счетной палаты города Череповца</v>
      </c>
      <c r="B1319" s="26">
        <v>812</v>
      </c>
      <c r="C1319" s="65" t="s">
        <v>60</v>
      </c>
      <c r="D1319" s="65" t="s">
        <v>78</v>
      </c>
      <c r="E1319" s="26" t="s">
        <v>411</v>
      </c>
      <c r="F1319" s="26"/>
      <c r="G1319" s="66">
        <f t="shared" si="243"/>
        <v>55</v>
      </c>
      <c r="H1319" s="66">
        <f t="shared" si="243"/>
        <v>0</v>
      </c>
      <c r="I1319" s="67">
        <f t="shared" si="238"/>
        <v>55</v>
      </c>
      <c r="J1319" s="66">
        <f t="shared" si="243"/>
        <v>0</v>
      </c>
      <c r="K1319" s="67">
        <f t="shared" si="241"/>
        <v>55</v>
      </c>
      <c r="L1319" s="66">
        <f t="shared" si="243"/>
        <v>0</v>
      </c>
      <c r="M1319" s="67">
        <f t="shared" si="242"/>
        <v>55</v>
      </c>
      <c r="N1319" s="66">
        <f t="shared" si="243"/>
        <v>0</v>
      </c>
      <c r="O1319" s="67">
        <f t="shared" si="239"/>
        <v>55</v>
      </c>
    </row>
    <row r="1320" spans="1:15" x14ac:dyDescent="0.2">
      <c r="A1320" s="64" t="str">
        <f ca="1">IF(ISERROR(MATCH(E1320,Код_КЦСР,0)),"",INDIRECT(ADDRESS(MATCH(E1320,Код_КЦСР,0)+1,2,,,"КЦСР")))</f>
        <v>Расходы на обеспечение функций органов местного самоуправления</v>
      </c>
      <c r="B1320" s="26">
        <v>812</v>
      </c>
      <c r="C1320" s="65" t="s">
        <v>60</v>
      </c>
      <c r="D1320" s="65" t="s">
        <v>78</v>
      </c>
      <c r="E1320" s="26" t="s">
        <v>412</v>
      </c>
      <c r="F1320" s="26"/>
      <c r="G1320" s="66">
        <f t="shared" si="243"/>
        <v>55</v>
      </c>
      <c r="H1320" s="66">
        <f t="shared" si="243"/>
        <v>0</v>
      </c>
      <c r="I1320" s="67">
        <f t="shared" si="238"/>
        <v>55</v>
      </c>
      <c r="J1320" s="66">
        <f t="shared" si="243"/>
        <v>0</v>
      </c>
      <c r="K1320" s="67">
        <f t="shared" si="241"/>
        <v>55</v>
      </c>
      <c r="L1320" s="66">
        <f t="shared" si="243"/>
        <v>0</v>
      </c>
      <c r="M1320" s="67">
        <f t="shared" si="242"/>
        <v>55</v>
      </c>
      <c r="N1320" s="66">
        <f t="shared" si="243"/>
        <v>0</v>
      </c>
      <c r="O1320" s="67">
        <f t="shared" si="239"/>
        <v>55</v>
      </c>
    </row>
    <row r="1321" spans="1:15" ht="39" customHeight="1" x14ac:dyDescent="0.2">
      <c r="A1321" s="64" t="str">
        <f ca="1">IF(ISERROR(MATCH(F1321,Код_КВР,0)),"",INDIRECT(ADDRESS(MATCH(F1321,Код_КВР,0)+1,2,,,"КВР")))</f>
        <v>Закупка товаров, работ и услуг для обеспечения государственных (муниципальных) нужд</v>
      </c>
      <c r="B1321" s="26">
        <v>812</v>
      </c>
      <c r="C1321" s="65" t="s">
        <v>60</v>
      </c>
      <c r="D1321" s="65" t="s">
        <v>78</v>
      </c>
      <c r="E1321" s="26" t="s">
        <v>412</v>
      </c>
      <c r="F1321" s="26">
        <v>200</v>
      </c>
      <c r="G1321" s="66">
        <f t="shared" si="243"/>
        <v>55</v>
      </c>
      <c r="H1321" s="66">
        <f t="shared" si="243"/>
        <v>0</v>
      </c>
      <c r="I1321" s="67">
        <f t="shared" si="238"/>
        <v>55</v>
      </c>
      <c r="J1321" s="66">
        <f t="shared" si="243"/>
        <v>0</v>
      </c>
      <c r="K1321" s="67">
        <f t="shared" si="241"/>
        <v>55</v>
      </c>
      <c r="L1321" s="66">
        <f t="shared" si="243"/>
        <v>0</v>
      </c>
      <c r="M1321" s="67">
        <f t="shared" si="242"/>
        <v>55</v>
      </c>
      <c r="N1321" s="66">
        <f t="shared" si="243"/>
        <v>0</v>
      </c>
      <c r="O1321" s="67">
        <f t="shared" si="239"/>
        <v>55</v>
      </c>
    </row>
    <row r="1322" spans="1:15" ht="39" customHeight="1" x14ac:dyDescent="0.2">
      <c r="A1322" s="64" t="str">
        <f ca="1">IF(ISERROR(MATCH(F1322,Код_КВР,0)),"",INDIRECT(ADDRESS(MATCH(F1322,Код_КВР,0)+1,2,,,"КВР")))</f>
        <v>Иные закупки товаров, работ и услуг для обеспечения государственных (муниципальных) нужд</v>
      </c>
      <c r="B1322" s="26">
        <v>812</v>
      </c>
      <c r="C1322" s="65" t="s">
        <v>60</v>
      </c>
      <c r="D1322" s="65" t="s">
        <v>78</v>
      </c>
      <c r="E1322" s="26" t="s">
        <v>412</v>
      </c>
      <c r="F1322" s="26">
        <v>240</v>
      </c>
      <c r="G1322" s="66">
        <v>55</v>
      </c>
      <c r="H1322" s="66"/>
      <c r="I1322" s="67">
        <f t="shared" si="238"/>
        <v>55</v>
      </c>
      <c r="J1322" s="66"/>
      <c r="K1322" s="67">
        <f t="shared" si="241"/>
        <v>55</v>
      </c>
      <c r="L1322" s="66"/>
      <c r="M1322" s="67">
        <f t="shared" si="242"/>
        <v>55</v>
      </c>
      <c r="N1322" s="66"/>
      <c r="O1322" s="67">
        <f t="shared" si="239"/>
        <v>55</v>
      </c>
    </row>
    <row r="1323" spans="1:15" hidden="1" x14ac:dyDescent="0.2">
      <c r="A1323" s="64" t="s">
        <v>490</v>
      </c>
      <c r="B1323" s="61"/>
      <c r="C1323" s="61"/>
      <c r="D1323" s="61"/>
      <c r="E1323" s="26"/>
      <c r="F1323" s="26"/>
      <c r="G1323" s="67">
        <f>G18+G455+G489+G619+G632+G894+G945+G1051+G1100+G1306</f>
        <v>7295499.5</v>
      </c>
      <c r="H1323" s="67">
        <f>H18+H455+H489+H619+H632+H894+H945+H1051+H1100+H1306</f>
        <v>7140.4</v>
      </c>
      <c r="I1323" s="67">
        <f t="shared" si="238"/>
        <v>7302639.9000000004</v>
      </c>
      <c r="J1323" s="67">
        <f>J18+J455+J489+J619+J632+J894+J945+J1051+J1100+J1306</f>
        <v>-41335.200000000004</v>
      </c>
      <c r="K1323" s="67">
        <f t="shared" si="241"/>
        <v>7261304.7000000002</v>
      </c>
      <c r="L1323" s="67">
        <f>L18+L455+L489+L619+L632+L894+L945+L1051+L1100+L1306</f>
        <v>373651.7</v>
      </c>
      <c r="M1323" s="67">
        <f t="shared" si="242"/>
        <v>7634956.4000000004</v>
      </c>
      <c r="N1323" s="67">
        <f>N18+N455+N489+N619+N632+N894+N945+N1051+N1100+N1306</f>
        <v>140046.59999999998</v>
      </c>
      <c r="O1323" s="67">
        <f t="shared" ref="O1323:O1326" si="244">M1323+N1323</f>
        <v>7775003</v>
      </c>
    </row>
    <row r="1324" spans="1:15" hidden="1" x14ac:dyDescent="0.2">
      <c r="A1324" s="64" t="s">
        <v>489</v>
      </c>
      <c r="B1324" s="61"/>
      <c r="C1324" s="61"/>
      <c r="D1324" s="61"/>
      <c r="E1324" s="26"/>
      <c r="F1324" s="26"/>
      <c r="G1324" s="67">
        <v>0</v>
      </c>
      <c r="H1324" s="67">
        <v>0</v>
      </c>
      <c r="I1324" s="67">
        <f t="shared" si="238"/>
        <v>0</v>
      </c>
      <c r="J1324" s="67">
        <v>0</v>
      </c>
      <c r="K1324" s="67">
        <f t="shared" si="241"/>
        <v>0</v>
      </c>
      <c r="L1324" s="67">
        <v>0</v>
      </c>
      <c r="M1324" s="67">
        <f t="shared" si="242"/>
        <v>0</v>
      </c>
      <c r="N1324" s="67">
        <v>0</v>
      </c>
      <c r="O1324" s="67">
        <f t="shared" si="244"/>
        <v>0</v>
      </c>
    </row>
    <row r="1325" spans="1:15" x14ac:dyDescent="0.2">
      <c r="A1325" s="64" t="s">
        <v>37</v>
      </c>
      <c r="B1325" s="61"/>
      <c r="C1325" s="61"/>
      <c r="D1325" s="61"/>
      <c r="E1325" s="26"/>
      <c r="F1325" s="26"/>
      <c r="G1325" s="67">
        <f>G1323+G1324</f>
        <v>7295499.5</v>
      </c>
      <c r="H1325" s="67">
        <f>H1323+H1324</f>
        <v>7140.4</v>
      </c>
      <c r="I1325" s="67">
        <f t="shared" si="238"/>
        <v>7302639.9000000004</v>
      </c>
      <c r="J1325" s="67">
        <f>J1323+J1324</f>
        <v>-41335.200000000004</v>
      </c>
      <c r="K1325" s="67">
        <f t="shared" si="241"/>
        <v>7261304.7000000002</v>
      </c>
      <c r="L1325" s="67">
        <f>L1323+L1324</f>
        <v>373651.7</v>
      </c>
      <c r="M1325" s="67">
        <f t="shared" si="242"/>
        <v>7634956.4000000004</v>
      </c>
      <c r="N1325" s="67">
        <f>N1323+N1324</f>
        <v>140046.59999999998</v>
      </c>
      <c r="O1325" s="67">
        <f t="shared" si="244"/>
        <v>7775003</v>
      </c>
    </row>
    <row r="1326" spans="1:15" ht="4.5" customHeight="1" x14ac:dyDescent="0.2">
      <c r="A1326" s="27"/>
      <c r="E1326" s="107"/>
      <c r="O1326" s="67">
        <f t="shared" si="244"/>
        <v>0</v>
      </c>
    </row>
    <row r="1327" spans="1:15" x14ac:dyDescent="0.2">
      <c r="A1327" s="68"/>
      <c r="E1327" s="68"/>
      <c r="G1327" s="68"/>
    </row>
    <row r="1328" spans="1:15" x14ac:dyDescent="0.2">
      <c r="A1328" s="68"/>
      <c r="E1328" s="68"/>
      <c r="G1328" s="68"/>
      <c r="L1328" s="78">
        <f>38187.9+4000-L1325</f>
        <v>-331463.8</v>
      </c>
    </row>
    <row r="1329" spans="1:14" x14ac:dyDescent="0.2">
      <c r="A1329" s="68"/>
      <c r="E1329" s="68"/>
      <c r="G1329" s="68"/>
    </row>
    <row r="1330" spans="1:14" x14ac:dyDescent="0.2">
      <c r="A1330" s="68"/>
      <c r="E1330" s="68"/>
      <c r="G1330" s="68"/>
    </row>
    <row r="1331" spans="1:14" x14ac:dyDescent="0.2">
      <c r="A1331" s="68"/>
      <c r="E1331" s="68"/>
      <c r="G1331" s="68"/>
      <c r="L1331" s="78"/>
    </row>
    <row r="1332" spans="1:14" x14ac:dyDescent="0.2">
      <c r="A1332" s="68"/>
      <c r="E1332" s="68"/>
      <c r="G1332" s="68"/>
    </row>
    <row r="1333" spans="1:14" x14ac:dyDescent="0.2">
      <c r="A1333" s="68"/>
      <c r="E1333" s="68"/>
      <c r="G1333" s="68"/>
      <c r="N1333" s="78">
        <f>140046.6-N1325</f>
        <v>0</v>
      </c>
    </row>
    <row r="1334" spans="1:14" x14ac:dyDescent="0.2">
      <c r="A1334" s="68"/>
      <c r="E1334" s="68"/>
      <c r="G1334" s="68"/>
    </row>
    <row r="1335" spans="1:14" x14ac:dyDescent="0.2">
      <c r="A1335" s="68"/>
      <c r="E1335" s="68"/>
      <c r="G1335" s="68"/>
    </row>
    <row r="1336" spans="1:14" x14ac:dyDescent="0.2">
      <c r="A1336" s="68"/>
      <c r="E1336" s="68"/>
      <c r="G1336" s="68"/>
    </row>
    <row r="1337" spans="1:14" x14ac:dyDescent="0.2">
      <c r="A1337" s="68"/>
      <c r="E1337" s="68"/>
      <c r="G1337" s="68"/>
    </row>
    <row r="1338" spans="1:14" x14ac:dyDescent="0.2">
      <c r="A1338" s="68"/>
      <c r="E1338" s="68"/>
      <c r="G1338" s="68"/>
    </row>
    <row r="1339" spans="1:14" x14ac:dyDescent="0.2">
      <c r="A1339" s="68"/>
      <c r="E1339" s="68"/>
      <c r="G1339" s="68"/>
    </row>
    <row r="1340" spans="1:14" x14ac:dyDescent="0.2">
      <c r="A1340" s="68"/>
      <c r="E1340" s="68"/>
      <c r="G1340" s="68"/>
    </row>
    <row r="1341" spans="1:14" x14ac:dyDescent="0.2">
      <c r="A1341" s="68"/>
      <c r="E1341" s="68"/>
      <c r="G1341" s="68"/>
    </row>
    <row r="1342" spans="1:14" x14ac:dyDescent="0.2">
      <c r="A1342" s="68"/>
      <c r="E1342" s="68"/>
      <c r="G1342" s="68"/>
    </row>
    <row r="1343" spans="1:14" x14ac:dyDescent="0.2">
      <c r="A1343" s="68"/>
      <c r="E1343" s="68"/>
      <c r="G1343" s="68"/>
    </row>
    <row r="1344" spans="1:14" x14ac:dyDescent="0.2">
      <c r="A1344" s="68"/>
      <c r="E1344" s="68"/>
      <c r="G1344" s="68"/>
    </row>
    <row r="1345" spans="1:7" x14ac:dyDescent="0.2">
      <c r="A1345" s="68"/>
      <c r="E1345" s="68"/>
      <c r="G1345" s="68"/>
    </row>
    <row r="1346" spans="1:7" x14ac:dyDescent="0.2">
      <c r="A1346" s="68"/>
      <c r="E1346" s="68"/>
      <c r="G1346" s="68"/>
    </row>
    <row r="1347" spans="1:7" x14ac:dyDescent="0.2">
      <c r="A1347" s="68"/>
      <c r="E1347" s="68"/>
      <c r="G1347" s="68"/>
    </row>
    <row r="1348" spans="1:7" x14ac:dyDescent="0.2">
      <c r="A1348" s="68"/>
      <c r="E1348" s="68"/>
      <c r="G1348" s="68"/>
    </row>
    <row r="1349" spans="1:7" x14ac:dyDescent="0.2">
      <c r="A1349" s="68"/>
      <c r="E1349" s="68"/>
      <c r="G1349" s="68"/>
    </row>
    <row r="1350" spans="1:7" x14ac:dyDescent="0.2">
      <c r="A1350" s="68"/>
      <c r="E1350" s="68"/>
      <c r="G1350" s="68"/>
    </row>
    <row r="1351" spans="1:7" x14ac:dyDescent="0.2">
      <c r="A1351" s="68"/>
      <c r="E1351" s="68"/>
      <c r="G1351" s="68"/>
    </row>
    <row r="1352" spans="1:7" x14ac:dyDescent="0.2">
      <c r="A1352" s="68"/>
      <c r="E1352" s="68"/>
      <c r="G1352" s="68"/>
    </row>
    <row r="1353" spans="1:7" x14ac:dyDescent="0.2">
      <c r="A1353" s="68"/>
      <c r="E1353" s="68"/>
      <c r="G1353" s="68"/>
    </row>
    <row r="1354" spans="1:7" x14ac:dyDescent="0.2">
      <c r="A1354" s="68"/>
      <c r="E1354" s="68"/>
      <c r="G1354" s="68"/>
    </row>
    <row r="1355" spans="1:7" x14ac:dyDescent="0.2">
      <c r="A1355" s="68"/>
      <c r="E1355" s="68"/>
      <c r="G1355" s="68"/>
    </row>
    <row r="1356" spans="1:7" x14ac:dyDescent="0.2">
      <c r="A1356" s="68"/>
      <c r="E1356" s="68"/>
      <c r="G1356" s="68"/>
    </row>
    <row r="1357" spans="1:7" x14ac:dyDescent="0.2">
      <c r="A1357" s="68"/>
      <c r="E1357" s="68"/>
      <c r="G1357" s="68"/>
    </row>
    <row r="1358" spans="1:7" x14ac:dyDescent="0.2">
      <c r="A1358" s="68"/>
      <c r="E1358" s="68"/>
      <c r="G1358" s="68"/>
    </row>
    <row r="1359" spans="1:7" x14ac:dyDescent="0.2">
      <c r="A1359" s="68"/>
      <c r="E1359" s="68"/>
      <c r="G1359" s="68"/>
    </row>
    <row r="1360" spans="1:7" x14ac:dyDescent="0.2">
      <c r="A1360" s="68"/>
      <c r="E1360" s="68"/>
      <c r="G1360" s="68"/>
    </row>
    <row r="1361" spans="1:7" x14ac:dyDescent="0.2">
      <c r="A1361" s="68"/>
      <c r="E1361" s="68"/>
      <c r="G1361" s="68"/>
    </row>
    <row r="1362" spans="1:7" x14ac:dyDescent="0.2">
      <c r="A1362" s="68"/>
      <c r="E1362" s="68"/>
      <c r="G1362" s="68"/>
    </row>
    <row r="1363" spans="1:7" x14ac:dyDescent="0.2">
      <c r="A1363" s="68"/>
      <c r="E1363" s="68"/>
      <c r="G1363" s="68"/>
    </row>
    <row r="1364" spans="1:7" x14ac:dyDescent="0.2">
      <c r="A1364" s="68"/>
      <c r="E1364" s="68"/>
      <c r="G1364" s="68"/>
    </row>
    <row r="1365" spans="1:7" x14ac:dyDescent="0.2">
      <c r="A1365" s="68"/>
      <c r="E1365" s="68"/>
      <c r="G1365" s="68"/>
    </row>
    <row r="1366" spans="1:7" x14ac:dyDescent="0.2">
      <c r="A1366" s="68"/>
      <c r="E1366" s="68"/>
      <c r="G1366" s="68"/>
    </row>
    <row r="1367" spans="1:7" x14ac:dyDescent="0.2">
      <c r="A1367" s="68"/>
      <c r="E1367" s="68"/>
      <c r="G1367" s="68"/>
    </row>
    <row r="1368" spans="1:7" x14ac:dyDescent="0.2">
      <c r="A1368" s="68"/>
      <c r="E1368" s="68"/>
      <c r="G1368" s="68"/>
    </row>
    <row r="1369" spans="1:7" x14ac:dyDescent="0.2">
      <c r="A1369" s="68"/>
      <c r="E1369" s="68"/>
      <c r="G1369" s="68"/>
    </row>
    <row r="1370" spans="1:7" x14ac:dyDescent="0.2">
      <c r="A1370" s="68"/>
      <c r="E1370" s="68"/>
      <c r="G1370" s="68"/>
    </row>
    <row r="1371" spans="1:7" x14ac:dyDescent="0.2">
      <c r="A1371" s="68"/>
      <c r="E1371" s="68"/>
      <c r="G1371" s="68"/>
    </row>
    <row r="1372" spans="1:7" x14ac:dyDescent="0.2">
      <c r="A1372" s="68"/>
      <c r="E1372" s="68"/>
      <c r="G1372" s="68"/>
    </row>
    <row r="1373" spans="1:7" x14ac:dyDescent="0.2">
      <c r="A1373" s="68"/>
      <c r="E1373" s="68"/>
      <c r="G1373" s="68"/>
    </row>
    <row r="1374" spans="1:7" x14ac:dyDescent="0.2">
      <c r="A1374" s="68"/>
      <c r="E1374" s="68"/>
      <c r="G1374" s="68"/>
    </row>
    <row r="1375" spans="1:7" x14ac:dyDescent="0.2">
      <c r="A1375" s="68"/>
      <c r="E1375" s="68"/>
      <c r="G1375" s="68"/>
    </row>
    <row r="1376" spans="1:7" x14ac:dyDescent="0.2">
      <c r="A1376" s="68"/>
      <c r="E1376" s="68"/>
      <c r="G1376" s="68"/>
    </row>
    <row r="1377" spans="1:7" x14ac:dyDescent="0.2">
      <c r="A1377" s="68"/>
      <c r="E1377" s="68"/>
      <c r="G1377" s="68"/>
    </row>
    <row r="1378" spans="1:7" x14ac:dyDescent="0.2">
      <c r="A1378" s="68"/>
      <c r="E1378" s="68"/>
      <c r="G1378" s="68"/>
    </row>
    <row r="1379" spans="1:7" x14ac:dyDescent="0.2">
      <c r="A1379" s="68"/>
      <c r="E1379" s="68"/>
      <c r="G1379" s="68"/>
    </row>
    <row r="1380" spans="1:7" x14ac:dyDescent="0.2">
      <c r="A1380" s="68"/>
      <c r="E1380" s="68"/>
      <c r="G1380" s="68"/>
    </row>
    <row r="1381" spans="1:7" x14ac:dyDescent="0.2">
      <c r="A1381" s="68"/>
      <c r="E1381" s="68"/>
      <c r="G1381" s="68"/>
    </row>
    <row r="1382" spans="1:7" x14ac:dyDescent="0.2">
      <c r="A1382" s="68"/>
      <c r="E1382" s="68"/>
      <c r="G1382" s="68"/>
    </row>
    <row r="1383" spans="1:7" x14ac:dyDescent="0.2">
      <c r="A1383" s="68"/>
      <c r="E1383" s="68"/>
      <c r="G1383" s="68"/>
    </row>
    <row r="1384" spans="1:7" x14ac:dyDescent="0.2">
      <c r="A1384" s="68"/>
      <c r="E1384" s="68"/>
      <c r="G1384" s="68"/>
    </row>
    <row r="1385" spans="1:7" x14ac:dyDescent="0.2">
      <c r="A1385" s="68"/>
      <c r="E1385" s="68"/>
      <c r="G1385" s="68"/>
    </row>
    <row r="1386" spans="1:7" x14ac:dyDescent="0.2">
      <c r="A1386" s="68"/>
      <c r="E1386" s="68"/>
      <c r="G1386" s="68"/>
    </row>
    <row r="1387" spans="1:7" x14ac:dyDescent="0.2">
      <c r="A1387" s="68"/>
      <c r="E1387" s="68"/>
      <c r="G1387" s="68"/>
    </row>
    <row r="1388" spans="1:7" x14ac:dyDescent="0.2">
      <c r="A1388" s="68"/>
      <c r="E1388" s="68"/>
      <c r="G1388" s="68"/>
    </row>
    <row r="1389" spans="1:7" x14ac:dyDescent="0.2">
      <c r="A1389" s="68"/>
      <c r="E1389" s="68"/>
      <c r="G1389" s="68"/>
    </row>
    <row r="1390" spans="1:7" x14ac:dyDescent="0.2">
      <c r="A1390" s="68"/>
      <c r="E1390" s="68"/>
      <c r="G1390" s="68"/>
    </row>
    <row r="1391" spans="1:7" x14ac:dyDescent="0.2">
      <c r="A1391" s="68"/>
      <c r="E1391" s="68"/>
      <c r="G1391" s="68"/>
    </row>
    <row r="1392" spans="1:7" x14ac:dyDescent="0.2">
      <c r="A1392" s="68"/>
      <c r="E1392" s="68"/>
      <c r="G1392" s="68"/>
    </row>
    <row r="1393" spans="1:7" x14ac:dyDescent="0.2">
      <c r="A1393" s="68"/>
      <c r="E1393" s="68"/>
      <c r="G1393" s="68"/>
    </row>
    <row r="1394" spans="1:7" x14ac:dyDescent="0.2">
      <c r="A1394" s="68"/>
      <c r="E1394" s="68"/>
      <c r="G1394" s="68"/>
    </row>
    <row r="1395" spans="1:7" x14ac:dyDescent="0.2">
      <c r="A1395" s="68"/>
      <c r="E1395" s="68"/>
      <c r="G1395" s="68"/>
    </row>
    <row r="1396" spans="1:7" x14ac:dyDescent="0.2">
      <c r="A1396" s="68"/>
      <c r="E1396" s="68"/>
      <c r="G1396" s="68"/>
    </row>
    <row r="1397" spans="1:7" x14ac:dyDescent="0.2">
      <c r="A1397" s="68"/>
      <c r="E1397" s="68"/>
      <c r="G1397" s="68"/>
    </row>
    <row r="1398" spans="1:7" x14ac:dyDescent="0.2">
      <c r="A1398" s="68"/>
      <c r="E1398" s="68"/>
      <c r="G1398" s="68"/>
    </row>
    <row r="1399" spans="1:7" x14ac:dyDescent="0.2">
      <c r="A1399" s="68"/>
      <c r="E1399" s="68"/>
      <c r="G1399" s="68"/>
    </row>
    <row r="1400" spans="1:7" x14ac:dyDescent="0.2">
      <c r="A1400" s="68"/>
      <c r="E1400" s="68"/>
      <c r="G1400" s="68"/>
    </row>
    <row r="1401" spans="1:7" x14ac:dyDescent="0.2">
      <c r="A1401" s="68"/>
      <c r="E1401" s="68"/>
      <c r="G1401" s="68"/>
    </row>
    <row r="1402" spans="1:7" x14ac:dyDescent="0.2">
      <c r="A1402" s="68"/>
      <c r="E1402" s="68"/>
      <c r="G1402" s="68"/>
    </row>
    <row r="1403" spans="1:7" x14ac:dyDescent="0.2">
      <c r="A1403" s="68"/>
      <c r="E1403" s="68"/>
      <c r="G1403" s="68"/>
    </row>
    <row r="1404" spans="1:7" x14ac:dyDescent="0.2">
      <c r="A1404" s="68"/>
      <c r="E1404" s="68"/>
      <c r="G1404" s="68"/>
    </row>
    <row r="1405" spans="1:7" x14ac:dyDescent="0.2">
      <c r="A1405" s="68"/>
      <c r="E1405" s="68"/>
      <c r="G1405" s="68"/>
    </row>
    <row r="1406" spans="1:7" x14ac:dyDescent="0.2">
      <c r="A1406" s="68"/>
      <c r="E1406" s="68"/>
      <c r="G1406" s="68"/>
    </row>
    <row r="1407" spans="1:7" x14ac:dyDescent="0.2">
      <c r="A1407" s="68"/>
      <c r="E1407" s="68"/>
      <c r="G1407" s="68"/>
    </row>
    <row r="1408" spans="1:7" x14ac:dyDescent="0.2">
      <c r="A1408" s="68"/>
      <c r="E1408" s="68"/>
      <c r="G1408" s="68"/>
    </row>
    <row r="1409" spans="1:7" x14ac:dyDescent="0.2">
      <c r="A1409" s="68"/>
      <c r="E1409" s="68"/>
      <c r="G1409" s="68"/>
    </row>
    <row r="1410" spans="1:7" x14ac:dyDescent="0.2">
      <c r="A1410" s="68"/>
      <c r="E1410" s="68"/>
      <c r="G1410" s="68"/>
    </row>
    <row r="1411" spans="1:7" x14ac:dyDescent="0.2">
      <c r="A1411" s="68"/>
      <c r="E1411" s="68"/>
      <c r="G1411" s="68"/>
    </row>
    <row r="1412" spans="1:7" x14ac:dyDescent="0.2">
      <c r="A1412" s="68"/>
      <c r="E1412" s="68"/>
      <c r="G1412" s="68"/>
    </row>
    <row r="1413" spans="1:7" x14ac:dyDescent="0.2">
      <c r="A1413" s="68"/>
      <c r="E1413" s="68"/>
      <c r="G1413" s="68"/>
    </row>
    <row r="1414" spans="1:7" x14ac:dyDescent="0.2">
      <c r="A1414" s="68"/>
      <c r="E1414" s="68"/>
      <c r="G1414" s="68"/>
    </row>
    <row r="1415" spans="1:7" x14ac:dyDescent="0.2">
      <c r="A1415" s="68"/>
      <c r="E1415" s="68"/>
      <c r="G1415" s="68"/>
    </row>
    <row r="1416" spans="1:7" x14ac:dyDescent="0.2">
      <c r="A1416" s="68"/>
      <c r="E1416" s="68"/>
      <c r="G1416" s="68"/>
    </row>
    <row r="1417" spans="1:7" x14ac:dyDescent="0.2">
      <c r="A1417" s="68"/>
      <c r="E1417" s="68"/>
      <c r="G1417" s="68"/>
    </row>
    <row r="1418" spans="1:7" x14ac:dyDescent="0.2">
      <c r="A1418" s="68"/>
      <c r="E1418" s="68"/>
      <c r="G1418" s="68"/>
    </row>
    <row r="1419" spans="1:7" x14ac:dyDescent="0.2">
      <c r="A1419" s="68"/>
      <c r="E1419" s="68"/>
      <c r="G1419" s="68"/>
    </row>
    <row r="1420" spans="1:7" x14ac:dyDescent="0.2">
      <c r="A1420" s="68"/>
      <c r="E1420" s="68"/>
      <c r="G1420" s="68"/>
    </row>
    <row r="1421" spans="1:7" x14ac:dyDescent="0.2">
      <c r="A1421" s="68"/>
      <c r="E1421" s="68"/>
      <c r="G1421" s="68"/>
    </row>
    <row r="1422" spans="1:7" x14ac:dyDescent="0.2">
      <c r="A1422" s="68"/>
      <c r="E1422" s="68"/>
      <c r="G1422" s="68"/>
    </row>
    <row r="1423" spans="1:7" x14ac:dyDescent="0.2">
      <c r="A1423" s="68"/>
      <c r="E1423" s="68"/>
      <c r="G1423" s="68"/>
    </row>
    <row r="1424" spans="1:7" x14ac:dyDescent="0.2">
      <c r="A1424" s="68"/>
      <c r="E1424" s="68"/>
      <c r="G1424" s="68"/>
    </row>
    <row r="1425" spans="1:7" x14ac:dyDescent="0.2">
      <c r="A1425" s="68"/>
      <c r="E1425" s="68"/>
      <c r="G1425" s="68"/>
    </row>
    <row r="1426" spans="1:7" x14ac:dyDescent="0.2">
      <c r="A1426" s="68"/>
      <c r="E1426" s="68"/>
      <c r="G1426" s="68"/>
    </row>
    <row r="1427" spans="1:7" x14ac:dyDescent="0.2">
      <c r="A1427" s="68"/>
      <c r="E1427" s="68"/>
      <c r="G1427" s="68"/>
    </row>
    <row r="1428" spans="1:7" x14ac:dyDescent="0.2">
      <c r="A1428" s="68"/>
      <c r="E1428" s="68"/>
      <c r="G1428" s="68"/>
    </row>
    <row r="1429" spans="1:7" x14ac:dyDescent="0.2">
      <c r="A1429" s="68"/>
      <c r="E1429" s="68"/>
      <c r="G1429" s="68"/>
    </row>
    <row r="1430" spans="1:7" x14ac:dyDescent="0.2">
      <c r="A1430" s="68"/>
      <c r="E1430" s="68"/>
      <c r="G1430" s="68"/>
    </row>
    <row r="1431" spans="1:7" x14ac:dyDescent="0.2">
      <c r="A1431" s="68"/>
      <c r="E1431" s="68"/>
      <c r="G1431" s="68"/>
    </row>
    <row r="1432" spans="1:7" x14ac:dyDescent="0.2">
      <c r="A1432" s="68"/>
      <c r="E1432" s="68"/>
      <c r="G1432" s="68"/>
    </row>
    <row r="1433" spans="1:7" x14ac:dyDescent="0.2">
      <c r="A1433" s="68"/>
      <c r="E1433" s="68"/>
      <c r="G1433" s="68"/>
    </row>
    <row r="1434" spans="1:7" x14ac:dyDescent="0.2">
      <c r="A1434" s="68"/>
      <c r="E1434" s="68"/>
      <c r="G1434" s="68"/>
    </row>
    <row r="1435" spans="1:7" x14ac:dyDescent="0.2">
      <c r="A1435" s="68"/>
      <c r="E1435" s="68"/>
      <c r="G1435" s="68"/>
    </row>
    <row r="1436" spans="1:7" x14ac:dyDescent="0.2">
      <c r="A1436" s="68"/>
      <c r="E1436" s="68"/>
      <c r="G1436" s="68"/>
    </row>
    <row r="1437" spans="1:7" x14ac:dyDescent="0.2">
      <c r="A1437" s="68"/>
      <c r="E1437" s="68"/>
      <c r="G1437" s="68"/>
    </row>
    <row r="1438" spans="1:7" x14ac:dyDescent="0.2">
      <c r="A1438" s="68"/>
      <c r="E1438" s="68"/>
      <c r="G1438" s="68"/>
    </row>
    <row r="1439" spans="1:7" x14ac:dyDescent="0.2">
      <c r="A1439" s="68"/>
      <c r="E1439" s="68"/>
      <c r="G1439" s="68"/>
    </row>
    <row r="1440" spans="1:7" x14ac:dyDescent="0.2">
      <c r="A1440" s="68"/>
      <c r="E1440" s="68"/>
      <c r="G1440" s="68"/>
    </row>
    <row r="1441" spans="1:7" x14ac:dyDescent="0.2">
      <c r="A1441" s="68"/>
      <c r="E1441" s="68"/>
      <c r="G1441" s="68"/>
    </row>
    <row r="1442" spans="1:7" x14ac:dyDescent="0.2">
      <c r="A1442" s="68"/>
      <c r="E1442" s="68"/>
      <c r="G1442" s="68"/>
    </row>
    <row r="1443" spans="1:7" x14ac:dyDescent="0.2">
      <c r="A1443" s="68"/>
      <c r="E1443" s="68"/>
      <c r="G1443" s="68"/>
    </row>
    <row r="1444" spans="1:7" x14ac:dyDescent="0.2">
      <c r="A1444" s="68"/>
      <c r="E1444" s="68"/>
      <c r="G1444" s="68"/>
    </row>
    <row r="1445" spans="1:7" x14ac:dyDescent="0.2">
      <c r="A1445" s="68"/>
      <c r="E1445" s="68"/>
      <c r="G1445" s="68"/>
    </row>
    <row r="1446" spans="1:7" x14ac:dyDescent="0.2">
      <c r="A1446" s="68"/>
      <c r="E1446" s="68"/>
      <c r="G1446" s="68"/>
    </row>
    <row r="1447" spans="1:7" x14ac:dyDescent="0.2">
      <c r="A1447" s="68"/>
      <c r="E1447" s="68"/>
      <c r="G1447" s="68"/>
    </row>
    <row r="1448" spans="1:7" x14ac:dyDescent="0.2">
      <c r="A1448" s="68"/>
      <c r="E1448" s="68"/>
      <c r="G1448" s="68"/>
    </row>
    <row r="1449" spans="1:7" x14ac:dyDescent="0.2">
      <c r="A1449" s="68"/>
      <c r="E1449" s="68"/>
      <c r="G1449" s="68"/>
    </row>
    <row r="1450" spans="1:7" x14ac:dyDescent="0.2">
      <c r="A1450" s="68"/>
      <c r="E1450" s="68"/>
      <c r="G1450" s="68"/>
    </row>
    <row r="1451" spans="1:7" x14ac:dyDescent="0.2">
      <c r="A1451" s="68"/>
      <c r="E1451" s="68"/>
      <c r="G1451" s="68"/>
    </row>
    <row r="1452" spans="1:7" x14ac:dyDescent="0.2">
      <c r="A1452" s="68"/>
      <c r="E1452" s="68"/>
      <c r="G1452" s="68"/>
    </row>
    <row r="1453" spans="1:7" x14ac:dyDescent="0.2">
      <c r="A1453" s="68"/>
      <c r="E1453" s="68"/>
      <c r="G1453" s="68"/>
    </row>
    <row r="1454" spans="1:7" x14ac:dyDescent="0.2">
      <c r="A1454" s="68"/>
      <c r="E1454" s="68"/>
      <c r="G1454" s="68"/>
    </row>
    <row r="1455" spans="1:7" x14ac:dyDescent="0.2">
      <c r="A1455" s="68"/>
      <c r="E1455" s="68"/>
      <c r="G1455" s="68"/>
    </row>
    <row r="1456" spans="1:7" x14ac:dyDescent="0.2">
      <c r="A1456" s="68"/>
      <c r="E1456" s="68"/>
      <c r="G1456" s="68"/>
    </row>
    <row r="1457" spans="1:7" x14ac:dyDescent="0.2">
      <c r="A1457" s="68"/>
      <c r="E1457" s="68"/>
      <c r="G1457" s="68"/>
    </row>
    <row r="1458" spans="1:7" x14ac:dyDescent="0.2">
      <c r="A1458" s="68"/>
      <c r="E1458" s="68"/>
      <c r="G1458" s="68"/>
    </row>
    <row r="1459" spans="1:7" x14ac:dyDescent="0.2">
      <c r="A1459" s="68"/>
      <c r="E1459" s="68"/>
      <c r="G1459" s="68"/>
    </row>
    <row r="1460" spans="1:7" x14ac:dyDescent="0.2">
      <c r="A1460" s="68"/>
      <c r="E1460" s="68"/>
      <c r="G1460" s="68"/>
    </row>
    <row r="1461" spans="1:7" x14ac:dyDescent="0.2">
      <c r="A1461" s="68"/>
      <c r="E1461" s="68"/>
      <c r="G1461" s="68"/>
    </row>
    <row r="1462" spans="1:7" x14ac:dyDescent="0.2">
      <c r="A1462" s="68"/>
      <c r="E1462" s="68"/>
      <c r="G1462" s="68"/>
    </row>
    <row r="1463" spans="1:7" x14ac:dyDescent="0.2">
      <c r="A1463" s="68"/>
      <c r="E1463" s="68"/>
      <c r="G1463" s="68"/>
    </row>
    <row r="1464" spans="1:7" x14ac:dyDescent="0.2">
      <c r="A1464" s="68"/>
      <c r="E1464" s="68"/>
      <c r="G1464" s="68"/>
    </row>
    <row r="1465" spans="1:7" x14ac:dyDescent="0.2">
      <c r="A1465" s="68"/>
      <c r="E1465" s="68"/>
      <c r="G1465" s="68"/>
    </row>
    <row r="1466" spans="1:7" x14ac:dyDescent="0.2">
      <c r="A1466" s="68"/>
      <c r="E1466" s="68"/>
      <c r="G1466" s="68"/>
    </row>
    <row r="1467" spans="1:7" x14ac:dyDescent="0.2">
      <c r="A1467" s="68"/>
      <c r="E1467" s="68"/>
      <c r="G1467" s="68"/>
    </row>
    <row r="1468" spans="1:7" x14ac:dyDescent="0.2">
      <c r="A1468" s="68"/>
      <c r="E1468" s="68"/>
      <c r="G1468" s="68"/>
    </row>
    <row r="1469" spans="1:7" x14ac:dyDescent="0.2">
      <c r="A1469" s="68"/>
      <c r="E1469" s="68"/>
      <c r="G1469" s="68"/>
    </row>
    <row r="1470" spans="1:7" x14ac:dyDescent="0.2">
      <c r="A1470" s="68"/>
      <c r="E1470" s="68"/>
      <c r="G1470" s="68"/>
    </row>
    <row r="1471" spans="1:7" x14ac:dyDescent="0.2">
      <c r="A1471" s="68"/>
      <c r="E1471" s="68"/>
      <c r="G1471" s="68"/>
    </row>
    <row r="1472" spans="1:7" x14ac:dyDescent="0.2">
      <c r="A1472" s="68"/>
      <c r="E1472" s="68"/>
      <c r="G1472" s="68"/>
    </row>
    <row r="1473" spans="1:7" x14ac:dyDescent="0.2">
      <c r="A1473" s="68"/>
      <c r="E1473" s="68"/>
      <c r="G1473" s="68"/>
    </row>
    <row r="1474" spans="1:7" x14ac:dyDescent="0.2">
      <c r="A1474" s="68"/>
      <c r="E1474" s="68"/>
      <c r="G1474" s="68"/>
    </row>
    <row r="1475" spans="1:7" x14ac:dyDescent="0.2">
      <c r="A1475" s="68"/>
      <c r="E1475" s="68"/>
      <c r="G1475" s="68"/>
    </row>
    <row r="1476" spans="1:7" x14ac:dyDescent="0.2">
      <c r="A1476" s="68"/>
      <c r="E1476" s="68"/>
      <c r="G1476" s="68"/>
    </row>
    <row r="1477" spans="1:7" x14ac:dyDescent="0.2">
      <c r="A1477" s="68"/>
      <c r="E1477" s="68"/>
      <c r="G1477" s="68"/>
    </row>
    <row r="1478" spans="1:7" x14ac:dyDescent="0.2">
      <c r="A1478" s="68"/>
      <c r="E1478" s="68"/>
      <c r="G1478" s="68"/>
    </row>
    <row r="1479" spans="1:7" x14ac:dyDescent="0.2">
      <c r="A1479" s="68"/>
      <c r="E1479" s="68"/>
      <c r="G1479" s="68"/>
    </row>
    <row r="1480" spans="1:7" x14ac:dyDescent="0.2">
      <c r="A1480" s="68"/>
      <c r="E1480" s="68"/>
      <c r="G1480" s="68"/>
    </row>
    <row r="1481" spans="1:7" x14ac:dyDescent="0.2">
      <c r="A1481" s="68"/>
      <c r="E1481" s="68"/>
      <c r="G1481" s="68"/>
    </row>
    <row r="1482" spans="1:7" x14ac:dyDescent="0.2">
      <c r="A1482" s="68"/>
      <c r="E1482" s="68"/>
      <c r="G1482" s="68"/>
    </row>
    <row r="1483" spans="1:7" x14ac:dyDescent="0.2">
      <c r="A1483" s="68"/>
      <c r="E1483" s="68"/>
      <c r="G1483" s="68"/>
    </row>
    <row r="1484" spans="1:7" x14ac:dyDescent="0.2">
      <c r="A1484" s="68"/>
      <c r="E1484" s="68"/>
      <c r="G1484" s="68"/>
    </row>
    <row r="1485" spans="1:7" x14ac:dyDescent="0.2">
      <c r="A1485" s="68"/>
      <c r="E1485" s="68"/>
      <c r="G1485" s="68"/>
    </row>
    <row r="1486" spans="1:7" x14ac:dyDescent="0.2">
      <c r="A1486" s="68"/>
      <c r="E1486" s="68"/>
      <c r="G1486" s="68"/>
    </row>
    <row r="1487" spans="1:7" x14ac:dyDescent="0.2">
      <c r="A1487" s="68"/>
      <c r="E1487" s="68"/>
      <c r="G1487" s="68"/>
    </row>
    <row r="1488" spans="1:7" x14ac:dyDescent="0.2">
      <c r="A1488" s="68"/>
      <c r="E1488" s="68"/>
      <c r="G1488" s="68"/>
    </row>
    <row r="1489" spans="1:7" x14ac:dyDescent="0.2">
      <c r="A1489" s="68"/>
      <c r="E1489" s="68"/>
      <c r="G1489" s="68"/>
    </row>
    <row r="1490" spans="1:7" x14ac:dyDescent="0.2">
      <c r="A1490" s="68"/>
      <c r="E1490" s="68"/>
      <c r="G1490" s="68"/>
    </row>
    <row r="1491" spans="1:7" x14ac:dyDescent="0.2">
      <c r="A1491" s="68"/>
      <c r="E1491" s="68"/>
      <c r="G1491" s="68"/>
    </row>
    <row r="1492" spans="1:7" x14ac:dyDescent="0.2">
      <c r="A1492" s="68"/>
      <c r="E1492" s="68"/>
      <c r="G1492" s="68"/>
    </row>
    <row r="1493" spans="1:7" x14ac:dyDescent="0.2">
      <c r="A1493" s="68"/>
      <c r="E1493" s="68"/>
      <c r="G1493" s="68"/>
    </row>
    <row r="1494" spans="1:7" x14ac:dyDescent="0.2">
      <c r="A1494" s="68"/>
      <c r="E1494" s="68"/>
      <c r="G1494" s="68"/>
    </row>
    <row r="1495" spans="1:7" x14ac:dyDescent="0.2">
      <c r="A1495" s="68"/>
      <c r="E1495" s="68"/>
      <c r="G1495" s="68"/>
    </row>
    <row r="1496" spans="1:7" x14ac:dyDescent="0.2">
      <c r="A1496" s="68"/>
      <c r="E1496" s="68"/>
      <c r="G1496" s="68"/>
    </row>
    <row r="1497" spans="1:7" x14ac:dyDescent="0.2">
      <c r="A1497" s="68"/>
      <c r="E1497" s="68"/>
      <c r="G1497" s="68"/>
    </row>
    <row r="1498" spans="1:7" x14ac:dyDescent="0.2">
      <c r="A1498" s="68"/>
      <c r="E1498" s="68"/>
      <c r="G1498" s="68"/>
    </row>
    <row r="1499" spans="1:7" x14ac:dyDescent="0.2">
      <c r="A1499" s="68"/>
      <c r="E1499" s="68"/>
      <c r="G1499" s="68"/>
    </row>
    <row r="1500" spans="1:7" x14ac:dyDescent="0.2">
      <c r="A1500" s="68"/>
      <c r="E1500" s="68"/>
      <c r="G1500" s="68"/>
    </row>
    <row r="1501" spans="1:7" x14ac:dyDescent="0.2">
      <c r="A1501" s="68"/>
      <c r="E1501" s="68"/>
      <c r="G1501" s="68"/>
    </row>
    <row r="1502" spans="1:7" x14ac:dyDescent="0.2">
      <c r="A1502" s="68"/>
      <c r="E1502" s="68"/>
      <c r="G1502" s="68"/>
    </row>
    <row r="1503" spans="1:7" x14ac:dyDescent="0.2">
      <c r="A1503" s="68"/>
      <c r="E1503" s="68"/>
      <c r="G1503" s="68"/>
    </row>
    <row r="1504" spans="1:7" x14ac:dyDescent="0.2">
      <c r="A1504" s="68"/>
      <c r="E1504" s="68"/>
      <c r="G1504" s="68"/>
    </row>
    <row r="1505" spans="1:7" x14ac:dyDescent="0.2">
      <c r="A1505" s="68"/>
      <c r="E1505" s="68"/>
      <c r="G1505" s="68"/>
    </row>
    <row r="1506" spans="1:7" x14ac:dyDescent="0.2">
      <c r="A1506" s="68"/>
      <c r="E1506" s="68"/>
      <c r="G1506" s="68"/>
    </row>
    <row r="1507" spans="1:7" x14ac:dyDescent="0.2">
      <c r="A1507" s="68"/>
      <c r="E1507" s="68"/>
      <c r="G1507" s="68"/>
    </row>
    <row r="1508" spans="1:7" x14ac:dyDescent="0.2">
      <c r="A1508" s="68"/>
      <c r="E1508" s="68"/>
      <c r="G1508" s="68"/>
    </row>
    <row r="1509" spans="1:7" x14ac:dyDescent="0.2">
      <c r="A1509" s="68"/>
      <c r="E1509" s="68"/>
      <c r="G1509" s="68"/>
    </row>
    <row r="1510" spans="1:7" x14ac:dyDescent="0.2">
      <c r="A1510" s="68"/>
      <c r="E1510" s="68"/>
      <c r="G1510" s="68"/>
    </row>
    <row r="1511" spans="1:7" x14ac:dyDescent="0.2">
      <c r="A1511" s="68"/>
      <c r="E1511" s="68"/>
      <c r="G1511" s="68"/>
    </row>
    <row r="1512" spans="1:7" x14ac:dyDescent="0.2">
      <c r="A1512" s="68"/>
      <c r="E1512" s="68"/>
      <c r="G1512" s="68"/>
    </row>
    <row r="1513" spans="1:7" x14ac:dyDescent="0.2">
      <c r="A1513" s="68"/>
      <c r="E1513" s="68"/>
      <c r="G1513" s="68"/>
    </row>
    <row r="1514" spans="1:7" x14ac:dyDescent="0.2">
      <c r="A1514" s="68"/>
      <c r="E1514" s="68"/>
      <c r="G1514" s="68"/>
    </row>
    <row r="1515" spans="1:7" x14ac:dyDescent="0.2">
      <c r="A1515" s="68"/>
      <c r="E1515" s="68"/>
      <c r="G1515" s="68"/>
    </row>
    <row r="1516" spans="1:7" x14ac:dyDescent="0.2">
      <c r="A1516" s="68"/>
      <c r="E1516" s="68"/>
      <c r="G1516" s="68"/>
    </row>
    <row r="1517" spans="1:7" x14ac:dyDescent="0.2">
      <c r="A1517" s="68"/>
      <c r="E1517" s="68"/>
      <c r="G1517" s="68"/>
    </row>
    <row r="1518" spans="1:7" x14ac:dyDescent="0.2">
      <c r="A1518" s="68"/>
      <c r="E1518" s="68"/>
      <c r="G1518" s="68"/>
    </row>
    <row r="1519" spans="1:7" x14ac:dyDescent="0.2">
      <c r="A1519" s="68"/>
      <c r="E1519" s="68"/>
      <c r="G1519" s="68"/>
    </row>
    <row r="1520" spans="1:7" x14ac:dyDescent="0.2">
      <c r="A1520" s="68"/>
      <c r="E1520" s="68"/>
      <c r="G1520" s="68"/>
    </row>
    <row r="1521" spans="1:7" x14ac:dyDescent="0.2">
      <c r="A1521" s="68"/>
      <c r="E1521" s="68"/>
      <c r="G1521" s="68"/>
    </row>
    <row r="1522" spans="1:7" x14ac:dyDescent="0.2">
      <c r="A1522" s="68"/>
      <c r="E1522" s="68"/>
      <c r="G1522" s="68"/>
    </row>
    <row r="1523" spans="1:7" x14ac:dyDescent="0.2">
      <c r="A1523" s="68"/>
      <c r="E1523" s="68"/>
      <c r="G1523" s="68"/>
    </row>
    <row r="1524" spans="1:7" x14ac:dyDescent="0.2">
      <c r="A1524" s="68"/>
      <c r="E1524" s="68"/>
      <c r="G1524" s="68"/>
    </row>
    <row r="1525" spans="1:7" x14ac:dyDescent="0.2">
      <c r="A1525" s="68"/>
      <c r="E1525" s="68"/>
      <c r="G1525" s="68"/>
    </row>
    <row r="1526" spans="1:7" x14ac:dyDescent="0.2">
      <c r="A1526" s="68"/>
      <c r="E1526" s="68"/>
      <c r="G1526" s="68"/>
    </row>
    <row r="1527" spans="1:7" x14ac:dyDescent="0.2">
      <c r="A1527" s="68"/>
      <c r="E1527" s="68"/>
      <c r="G1527" s="68"/>
    </row>
    <row r="1528" spans="1:7" x14ac:dyDescent="0.2">
      <c r="A1528" s="68"/>
      <c r="E1528" s="68"/>
      <c r="G1528" s="68"/>
    </row>
    <row r="1529" spans="1:7" x14ac:dyDescent="0.2">
      <c r="A1529" s="68"/>
      <c r="E1529" s="68"/>
      <c r="G1529" s="68"/>
    </row>
    <row r="1530" spans="1:7" x14ac:dyDescent="0.2">
      <c r="A1530" s="68"/>
      <c r="E1530" s="68"/>
      <c r="G1530" s="68"/>
    </row>
    <row r="1531" spans="1:7" x14ac:dyDescent="0.2">
      <c r="A1531" s="68"/>
      <c r="E1531" s="68"/>
      <c r="G1531" s="68"/>
    </row>
    <row r="1532" spans="1:7" x14ac:dyDescent="0.2">
      <c r="A1532" s="68"/>
      <c r="E1532" s="68"/>
      <c r="G1532" s="68"/>
    </row>
    <row r="1533" spans="1:7" x14ac:dyDescent="0.2">
      <c r="A1533" s="68"/>
      <c r="E1533" s="68"/>
      <c r="G1533" s="68"/>
    </row>
    <row r="1534" spans="1:7" x14ac:dyDescent="0.2">
      <c r="A1534" s="68"/>
      <c r="E1534" s="68"/>
      <c r="G1534" s="68"/>
    </row>
    <row r="1535" spans="1:7" x14ac:dyDescent="0.2">
      <c r="A1535" s="68"/>
      <c r="E1535" s="68"/>
      <c r="G1535" s="68"/>
    </row>
    <row r="1536" spans="1:7" x14ac:dyDescent="0.2">
      <c r="A1536" s="68"/>
      <c r="E1536" s="68"/>
      <c r="G1536" s="68"/>
    </row>
    <row r="1537" spans="1:7" x14ac:dyDescent="0.2">
      <c r="A1537" s="68"/>
      <c r="E1537" s="68"/>
      <c r="G1537" s="68"/>
    </row>
    <row r="1538" spans="1:7" x14ac:dyDescent="0.2">
      <c r="A1538" s="68"/>
      <c r="E1538" s="68"/>
      <c r="G1538" s="68"/>
    </row>
    <row r="1539" spans="1:7" x14ac:dyDescent="0.2">
      <c r="A1539" s="68"/>
      <c r="E1539" s="68"/>
      <c r="G1539" s="68"/>
    </row>
    <row r="1540" spans="1:7" x14ac:dyDescent="0.2">
      <c r="A1540" s="68"/>
      <c r="E1540" s="68"/>
      <c r="G1540" s="68"/>
    </row>
    <row r="1541" spans="1:7" x14ac:dyDescent="0.2">
      <c r="A1541" s="68"/>
      <c r="E1541" s="68"/>
      <c r="G1541" s="68"/>
    </row>
    <row r="1542" spans="1:7" x14ac:dyDescent="0.2">
      <c r="A1542" s="68"/>
      <c r="E1542" s="68"/>
      <c r="G1542" s="68"/>
    </row>
    <row r="1543" spans="1:7" x14ac:dyDescent="0.2">
      <c r="A1543" s="68"/>
      <c r="E1543" s="68"/>
      <c r="G1543" s="68"/>
    </row>
    <row r="1544" spans="1:7" x14ac:dyDescent="0.2">
      <c r="A1544" s="68"/>
      <c r="E1544" s="68"/>
      <c r="G1544" s="68"/>
    </row>
    <row r="1545" spans="1:7" x14ac:dyDescent="0.2">
      <c r="A1545" s="68"/>
      <c r="E1545" s="68"/>
      <c r="G1545" s="68"/>
    </row>
    <row r="1546" spans="1:7" x14ac:dyDescent="0.2">
      <c r="A1546" s="68"/>
      <c r="E1546" s="68"/>
      <c r="G1546" s="68"/>
    </row>
    <row r="1547" spans="1:7" x14ac:dyDescent="0.2">
      <c r="A1547" s="68"/>
      <c r="E1547" s="68"/>
      <c r="G1547" s="68"/>
    </row>
    <row r="1548" spans="1:7" x14ac:dyDescent="0.2">
      <c r="A1548" s="68"/>
      <c r="E1548" s="68"/>
      <c r="G1548" s="68"/>
    </row>
    <row r="1549" spans="1:7" x14ac:dyDescent="0.2">
      <c r="A1549" s="68"/>
      <c r="E1549" s="68"/>
      <c r="G1549" s="68"/>
    </row>
    <row r="1550" spans="1:7" x14ac:dyDescent="0.2">
      <c r="A1550" s="68"/>
      <c r="E1550" s="68"/>
      <c r="G1550" s="68"/>
    </row>
    <row r="1551" spans="1:7" x14ac:dyDescent="0.2">
      <c r="A1551" s="68"/>
      <c r="E1551" s="68"/>
      <c r="G1551" s="68"/>
    </row>
    <row r="1552" spans="1:7" x14ac:dyDescent="0.2">
      <c r="A1552" s="68"/>
      <c r="E1552" s="68"/>
      <c r="G1552" s="68"/>
    </row>
    <row r="1553" spans="1:7" x14ac:dyDescent="0.2">
      <c r="A1553" s="68"/>
      <c r="E1553" s="68"/>
      <c r="G1553" s="68"/>
    </row>
    <row r="1554" spans="1:7" x14ac:dyDescent="0.2">
      <c r="A1554" s="68"/>
      <c r="E1554" s="68"/>
      <c r="G1554" s="68"/>
    </row>
    <row r="1555" spans="1:7" x14ac:dyDescent="0.2">
      <c r="A1555" s="68"/>
      <c r="E1555" s="68"/>
      <c r="G1555" s="68"/>
    </row>
    <row r="1556" spans="1:7" x14ac:dyDescent="0.2">
      <c r="A1556" s="68"/>
      <c r="E1556" s="68"/>
      <c r="G1556" s="68"/>
    </row>
    <row r="1557" spans="1:7" x14ac:dyDescent="0.2">
      <c r="A1557" s="68"/>
      <c r="E1557" s="68"/>
      <c r="G1557" s="68"/>
    </row>
    <row r="1558" spans="1:7" x14ac:dyDescent="0.2">
      <c r="A1558" s="68"/>
      <c r="E1558" s="68"/>
      <c r="G1558" s="68"/>
    </row>
    <row r="1559" spans="1:7" x14ac:dyDescent="0.2">
      <c r="A1559" s="68"/>
      <c r="E1559" s="68"/>
      <c r="G1559" s="68"/>
    </row>
    <row r="1560" spans="1:7" x14ac:dyDescent="0.2">
      <c r="A1560" s="68"/>
      <c r="E1560" s="68"/>
      <c r="G1560" s="68"/>
    </row>
    <row r="1561" spans="1:7" x14ac:dyDescent="0.2">
      <c r="A1561" s="68"/>
      <c r="E1561" s="68"/>
      <c r="G1561" s="68"/>
    </row>
    <row r="1562" spans="1:7" x14ac:dyDescent="0.2">
      <c r="A1562" s="68"/>
      <c r="E1562" s="68"/>
      <c r="G1562" s="68"/>
    </row>
    <row r="1563" spans="1:7" x14ac:dyDescent="0.2">
      <c r="A1563" s="68"/>
      <c r="E1563" s="68"/>
      <c r="G1563" s="68"/>
    </row>
    <row r="1564" spans="1:7" x14ac:dyDescent="0.2">
      <c r="A1564" s="68"/>
      <c r="E1564" s="68"/>
      <c r="G1564" s="68"/>
    </row>
    <row r="1565" spans="1:7" x14ac:dyDescent="0.2">
      <c r="A1565" s="68"/>
      <c r="E1565" s="68"/>
      <c r="G1565" s="68"/>
    </row>
    <row r="1566" spans="1:7" x14ac:dyDescent="0.2">
      <c r="A1566" s="68"/>
      <c r="E1566" s="68"/>
      <c r="G1566" s="68"/>
    </row>
    <row r="1567" spans="1:7" x14ac:dyDescent="0.2">
      <c r="A1567" s="68"/>
      <c r="E1567" s="68"/>
      <c r="G1567" s="68"/>
    </row>
    <row r="1568" spans="1:7" x14ac:dyDescent="0.2">
      <c r="A1568" s="68"/>
      <c r="E1568" s="68"/>
      <c r="G1568" s="68"/>
    </row>
    <row r="1569" spans="1:7" x14ac:dyDescent="0.2">
      <c r="A1569" s="68"/>
      <c r="E1569" s="68"/>
      <c r="G1569" s="68"/>
    </row>
    <row r="1570" spans="1:7" x14ac:dyDescent="0.2">
      <c r="A1570" s="68"/>
      <c r="E1570" s="68"/>
      <c r="G1570" s="68"/>
    </row>
    <row r="1571" spans="1:7" x14ac:dyDescent="0.2">
      <c r="A1571" s="68"/>
      <c r="E1571" s="68"/>
      <c r="G1571" s="68"/>
    </row>
    <row r="1572" spans="1:7" x14ac:dyDescent="0.2">
      <c r="A1572" s="68"/>
      <c r="E1572" s="68"/>
      <c r="G1572" s="68"/>
    </row>
    <row r="1573" spans="1:7" x14ac:dyDescent="0.2">
      <c r="A1573" s="68"/>
      <c r="E1573" s="68"/>
      <c r="G1573" s="68"/>
    </row>
    <row r="1574" spans="1:7" x14ac:dyDescent="0.2">
      <c r="A1574" s="68"/>
      <c r="E1574" s="68"/>
      <c r="G1574" s="68"/>
    </row>
    <row r="1575" spans="1:7" x14ac:dyDescent="0.2">
      <c r="A1575" s="68"/>
      <c r="E1575" s="68"/>
      <c r="G1575" s="68"/>
    </row>
    <row r="1576" spans="1:7" x14ac:dyDescent="0.2">
      <c r="A1576" s="68"/>
      <c r="E1576" s="68"/>
      <c r="G1576" s="68"/>
    </row>
    <row r="1577" spans="1:7" x14ac:dyDescent="0.2">
      <c r="A1577" s="68"/>
      <c r="E1577" s="68"/>
      <c r="G1577" s="68"/>
    </row>
    <row r="1578" spans="1:7" x14ac:dyDescent="0.2">
      <c r="A1578" s="68"/>
      <c r="E1578" s="68"/>
      <c r="G1578" s="68"/>
    </row>
    <row r="1579" spans="1:7" x14ac:dyDescent="0.2">
      <c r="A1579" s="68"/>
      <c r="E1579" s="68"/>
      <c r="G1579" s="68"/>
    </row>
    <row r="1580" spans="1:7" x14ac:dyDescent="0.2">
      <c r="A1580" s="68"/>
      <c r="E1580" s="68"/>
      <c r="G1580" s="68"/>
    </row>
    <row r="1581" spans="1:7" x14ac:dyDescent="0.2">
      <c r="A1581" s="68"/>
      <c r="E1581" s="68"/>
      <c r="G1581" s="68"/>
    </row>
    <row r="1582" spans="1:7" x14ac:dyDescent="0.2">
      <c r="A1582" s="68"/>
      <c r="E1582" s="68"/>
      <c r="G1582" s="68"/>
    </row>
    <row r="1583" spans="1:7" x14ac:dyDescent="0.2">
      <c r="A1583" s="68"/>
      <c r="E1583" s="68"/>
      <c r="G1583" s="68"/>
    </row>
    <row r="1584" spans="1:7" x14ac:dyDescent="0.2">
      <c r="A1584" s="68"/>
      <c r="E1584" s="68"/>
      <c r="G1584" s="68"/>
    </row>
    <row r="1585" spans="1:7" x14ac:dyDescent="0.2">
      <c r="A1585" s="68"/>
      <c r="E1585" s="68"/>
      <c r="G1585" s="68"/>
    </row>
    <row r="1586" spans="1:7" x14ac:dyDescent="0.2">
      <c r="A1586" s="68"/>
      <c r="E1586" s="68"/>
      <c r="G1586" s="68"/>
    </row>
    <row r="1587" spans="1:7" x14ac:dyDescent="0.2">
      <c r="A1587" s="68"/>
      <c r="E1587" s="68"/>
      <c r="G1587" s="68"/>
    </row>
    <row r="1588" spans="1:7" x14ac:dyDescent="0.2">
      <c r="A1588" s="68"/>
      <c r="E1588" s="68"/>
      <c r="G1588" s="68"/>
    </row>
    <row r="1589" spans="1:7" x14ac:dyDescent="0.2">
      <c r="A1589" s="68"/>
      <c r="E1589" s="68"/>
      <c r="G1589" s="68"/>
    </row>
    <row r="1590" spans="1:7" x14ac:dyDescent="0.2">
      <c r="A1590" s="68"/>
      <c r="E1590" s="68"/>
      <c r="G1590" s="68"/>
    </row>
    <row r="1591" spans="1:7" x14ac:dyDescent="0.2">
      <c r="A1591" s="68"/>
      <c r="E1591" s="68"/>
      <c r="G1591" s="68"/>
    </row>
    <row r="1592" spans="1:7" x14ac:dyDescent="0.2">
      <c r="A1592" s="68"/>
      <c r="E1592" s="68"/>
      <c r="G1592" s="68"/>
    </row>
    <row r="1593" spans="1:7" x14ac:dyDescent="0.2">
      <c r="A1593" s="68"/>
      <c r="E1593" s="68"/>
      <c r="G1593" s="68"/>
    </row>
    <row r="1594" spans="1:7" x14ac:dyDescent="0.2">
      <c r="A1594" s="68"/>
      <c r="E1594" s="68"/>
      <c r="G1594" s="68"/>
    </row>
    <row r="1595" spans="1:7" x14ac:dyDescent="0.2">
      <c r="A1595" s="68"/>
      <c r="E1595" s="68"/>
      <c r="G1595" s="68"/>
    </row>
    <row r="1596" spans="1:7" x14ac:dyDescent="0.2">
      <c r="A1596" s="68"/>
      <c r="E1596" s="68"/>
      <c r="G1596" s="68"/>
    </row>
    <row r="1597" spans="1:7" x14ac:dyDescent="0.2">
      <c r="A1597" s="68"/>
      <c r="E1597" s="68"/>
      <c r="G1597" s="68"/>
    </row>
    <row r="1598" spans="1:7" x14ac:dyDescent="0.2">
      <c r="A1598" s="68"/>
      <c r="E1598" s="68"/>
      <c r="G1598" s="68"/>
    </row>
    <row r="1599" spans="1:7" x14ac:dyDescent="0.2">
      <c r="A1599" s="68"/>
      <c r="E1599" s="68"/>
      <c r="G1599" s="68"/>
    </row>
    <row r="1600" spans="1:7" x14ac:dyDescent="0.2">
      <c r="A1600" s="68"/>
      <c r="E1600" s="68"/>
      <c r="G1600" s="68"/>
    </row>
    <row r="1601" spans="1:7" x14ac:dyDescent="0.2">
      <c r="A1601" s="68"/>
      <c r="E1601" s="68"/>
      <c r="G1601" s="68"/>
    </row>
    <row r="1602" spans="1:7" x14ac:dyDescent="0.2">
      <c r="A1602" s="68"/>
      <c r="E1602" s="68"/>
      <c r="G1602" s="68"/>
    </row>
    <row r="1603" spans="1:7" x14ac:dyDescent="0.2">
      <c r="A1603" s="68"/>
      <c r="E1603" s="68"/>
      <c r="G1603" s="68"/>
    </row>
    <row r="1604" spans="1:7" x14ac:dyDescent="0.2">
      <c r="A1604" s="68"/>
      <c r="E1604" s="68"/>
      <c r="G1604" s="68"/>
    </row>
    <row r="1605" spans="1:7" x14ac:dyDescent="0.2">
      <c r="A1605" s="68"/>
      <c r="E1605" s="68"/>
      <c r="G1605" s="68"/>
    </row>
    <row r="1606" spans="1:7" x14ac:dyDescent="0.2">
      <c r="A1606" s="68"/>
      <c r="E1606" s="68"/>
      <c r="G1606" s="68"/>
    </row>
    <row r="1607" spans="1:7" x14ac:dyDescent="0.2">
      <c r="A1607" s="68"/>
      <c r="E1607" s="68"/>
      <c r="G1607" s="68"/>
    </row>
    <row r="1608" spans="1:7" x14ac:dyDescent="0.2">
      <c r="A1608" s="68"/>
      <c r="E1608" s="68"/>
      <c r="G1608" s="68"/>
    </row>
    <row r="1609" spans="1:7" x14ac:dyDescent="0.2">
      <c r="A1609" s="68"/>
      <c r="E1609" s="68"/>
      <c r="G1609" s="68"/>
    </row>
    <row r="1610" spans="1:7" x14ac:dyDescent="0.2">
      <c r="A1610" s="68"/>
      <c r="E1610" s="68"/>
      <c r="G1610" s="68"/>
    </row>
    <row r="1611" spans="1:7" x14ac:dyDescent="0.2">
      <c r="A1611" s="68"/>
      <c r="E1611" s="68"/>
      <c r="G1611" s="68"/>
    </row>
    <row r="1612" spans="1:7" x14ac:dyDescent="0.2">
      <c r="A1612" s="68"/>
      <c r="E1612" s="68"/>
      <c r="G1612" s="68"/>
    </row>
    <row r="1613" spans="1:7" x14ac:dyDescent="0.2">
      <c r="A1613" s="68"/>
      <c r="E1613" s="68"/>
      <c r="G1613" s="68"/>
    </row>
    <row r="1614" spans="1:7" x14ac:dyDescent="0.2">
      <c r="A1614" s="68"/>
      <c r="E1614" s="68"/>
      <c r="G1614" s="68"/>
    </row>
    <row r="1615" spans="1:7" x14ac:dyDescent="0.2">
      <c r="A1615" s="68"/>
      <c r="E1615" s="68"/>
      <c r="G1615" s="68"/>
    </row>
    <row r="1616" spans="1:7" x14ac:dyDescent="0.2">
      <c r="A1616" s="68"/>
      <c r="E1616" s="68"/>
      <c r="G1616" s="68"/>
    </row>
    <row r="1617" spans="1:7" x14ac:dyDescent="0.2">
      <c r="A1617" s="68"/>
      <c r="E1617" s="68"/>
      <c r="G1617" s="68"/>
    </row>
    <row r="1618" spans="1:7" x14ac:dyDescent="0.2">
      <c r="A1618" s="68"/>
      <c r="E1618" s="68"/>
      <c r="G1618" s="68"/>
    </row>
    <row r="1619" spans="1:7" x14ac:dyDescent="0.2">
      <c r="A1619" s="68"/>
      <c r="E1619" s="68"/>
      <c r="G1619" s="68"/>
    </row>
    <row r="1620" spans="1:7" x14ac:dyDescent="0.2">
      <c r="A1620" s="68"/>
      <c r="E1620" s="68"/>
      <c r="G1620" s="68"/>
    </row>
    <row r="1621" spans="1:7" x14ac:dyDescent="0.2">
      <c r="A1621" s="68"/>
      <c r="E1621" s="68"/>
      <c r="G1621" s="68"/>
    </row>
    <row r="1622" spans="1:7" x14ac:dyDescent="0.2">
      <c r="A1622" s="68"/>
      <c r="E1622" s="68"/>
      <c r="G1622" s="68"/>
    </row>
    <row r="1623" spans="1:7" x14ac:dyDescent="0.2">
      <c r="A1623" s="68"/>
      <c r="E1623" s="68"/>
      <c r="G1623" s="68"/>
    </row>
    <row r="1624" spans="1:7" x14ac:dyDescent="0.2">
      <c r="A1624" s="68"/>
      <c r="E1624" s="68"/>
      <c r="G1624" s="68"/>
    </row>
    <row r="1625" spans="1:7" x14ac:dyDescent="0.2">
      <c r="A1625" s="68"/>
      <c r="E1625" s="68"/>
      <c r="G1625" s="68"/>
    </row>
    <row r="1626" spans="1:7" x14ac:dyDescent="0.2">
      <c r="A1626" s="68"/>
      <c r="E1626" s="68"/>
      <c r="G1626" s="68"/>
    </row>
    <row r="1627" spans="1:7" x14ac:dyDescent="0.2">
      <c r="A1627" s="68"/>
      <c r="E1627" s="68"/>
      <c r="G1627" s="68"/>
    </row>
    <row r="1628" spans="1:7" x14ac:dyDescent="0.2">
      <c r="A1628" s="68"/>
      <c r="E1628" s="68"/>
      <c r="G1628" s="68"/>
    </row>
    <row r="1629" spans="1:7" x14ac:dyDescent="0.2">
      <c r="A1629" s="68"/>
      <c r="E1629" s="68"/>
      <c r="G1629" s="68"/>
    </row>
    <row r="1630" spans="1:7" x14ac:dyDescent="0.2">
      <c r="A1630" s="68"/>
      <c r="E1630" s="68"/>
      <c r="G1630" s="68"/>
    </row>
    <row r="1631" spans="1:7" x14ac:dyDescent="0.2">
      <c r="A1631" s="68"/>
      <c r="E1631" s="68"/>
      <c r="G1631" s="68"/>
    </row>
    <row r="1632" spans="1:7" x14ac:dyDescent="0.2">
      <c r="A1632" s="68"/>
      <c r="E1632" s="68"/>
      <c r="G1632" s="68"/>
    </row>
    <row r="1633" spans="1:7" x14ac:dyDescent="0.2">
      <c r="A1633" s="68"/>
      <c r="E1633" s="68"/>
      <c r="G1633" s="68"/>
    </row>
    <row r="1634" spans="1:7" x14ac:dyDescent="0.2">
      <c r="A1634" s="68"/>
      <c r="E1634" s="68"/>
      <c r="G1634" s="68"/>
    </row>
    <row r="1635" spans="1:7" x14ac:dyDescent="0.2">
      <c r="A1635" s="68"/>
      <c r="E1635" s="68"/>
      <c r="G1635" s="68"/>
    </row>
    <row r="1636" spans="1:7" x14ac:dyDescent="0.2">
      <c r="A1636" s="68"/>
      <c r="E1636" s="68"/>
      <c r="G1636" s="68"/>
    </row>
    <row r="1637" spans="1:7" x14ac:dyDescent="0.2">
      <c r="A1637" s="68"/>
      <c r="E1637" s="68"/>
      <c r="G1637" s="68"/>
    </row>
    <row r="1638" spans="1:7" x14ac:dyDescent="0.2">
      <c r="A1638" s="68"/>
      <c r="E1638" s="68"/>
      <c r="G1638" s="68"/>
    </row>
    <row r="1639" spans="1:7" x14ac:dyDescent="0.2">
      <c r="A1639" s="68"/>
      <c r="E1639" s="68"/>
      <c r="G1639" s="68"/>
    </row>
    <row r="1640" spans="1:7" x14ac:dyDescent="0.2">
      <c r="A1640" s="68"/>
      <c r="E1640" s="68"/>
      <c r="G1640" s="68"/>
    </row>
    <row r="1641" spans="1:7" x14ac:dyDescent="0.2">
      <c r="A1641" s="68"/>
      <c r="E1641" s="68"/>
      <c r="G1641" s="68"/>
    </row>
    <row r="1642" spans="1:7" x14ac:dyDescent="0.2">
      <c r="A1642" s="68"/>
      <c r="E1642" s="68"/>
      <c r="G1642" s="68"/>
    </row>
    <row r="1643" spans="1:7" x14ac:dyDescent="0.2">
      <c r="A1643" s="68"/>
      <c r="E1643" s="68"/>
      <c r="G1643" s="68"/>
    </row>
    <row r="1644" spans="1:7" x14ac:dyDescent="0.2">
      <c r="A1644" s="68"/>
      <c r="E1644" s="68"/>
      <c r="G1644" s="68"/>
    </row>
    <row r="1645" spans="1:7" x14ac:dyDescent="0.2">
      <c r="A1645" s="68"/>
      <c r="E1645" s="68"/>
      <c r="G1645" s="68"/>
    </row>
    <row r="1646" spans="1:7" x14ac:dyDescent="0.2">
      <c r="A1646" s="68"/>
      <c r="E1646" s="68"/>
      <c r="G1646" s="68"/>
    </row>
    <row r="1647" spans="1:7" x14ac:dyDescent="0.2">
      <c r="A1647" s="68"/>
      <c r="E1647" s="68"/>
      <c r="G1647" s="68"/>
    </row>
    <row r="1648" spans="1:7" x14ac:dyDescent="0.2">
      <c r="A1648" s="68"/>
      <c r="E1648" s="68"/>
      <c r="G1648" s="68"/>
    </row>
    <row r="1649" spans="1:7" x14ac:dyDescent="0.2">
      <c r="A1649" s="68"/>
      <c r="E1649" s="68"/>
      <c r="G1649" s="68"/>
    </row>
    <row r="1650" spans="1:7" x14ac:dyDescent="0.2">
      <c r="A1650" s="68"/>
      <c r="E1650" s="68"/>
      <c r="G1650" s="68"/>
    </row>
    <row r="1651" spans="1:7" x14ac:dyDescent="0.2">
      <c r="A1651" s="68"/>
      <c r="E1651" s="68"/>
      <c r="G1651" s="68"/>
    </row>
    <row r="1652" spans="1:7" x14ac:dyDescent="0.2">
      <c r="A1652" s="68"/>
      <c r="E1652" s="68"/>
      <c r="G1652" s="68"/>
    </row>
    <row r="1653" spans="1:7" x14ac:dyDescent="0.2">
      <c r="A1653" s="68"/>
      <c r="E1653" s="68"/>
      <c r="G1653" s="68"/>
    </row>
    <row r="1654" spans="1:7" x14ac:dyDescent="0.2">
      <c r="A1654" s="68"/>
      <c r="E1654" s="68"/>
      <c r="G1654" s="68"/>
    </row>
    <row r="1655" spans="1:7" x14ac:dyDescent="0.2">
      <c r="A1655" s="68"/>
      <c r="E1655" s="68"/>
      <c r="G1655" s="68"/>
    </row>
    <row r="1656" spans="1:7" x14ac:dyDescent="0.2">
      <c r="A1656" s="68"/>
      <c r="E1656" s="68"/>
      <c r="G1656" s="68"/>
    </row>
    <row r="1657" spans="1:7" x14ac:dyDescent="0.2">
      <c r="A1657" s="68"/>
      <c r="E1657" s="68"/>
      <c r="G1657" s="68"/>
    </row>
    <row r="1658" spans="1:7" x14ac:dyDescent="0.2">
      <c r="A1658" s="68"/>
      <c r="E1658" s="68"/>
      <c r="G1658" s="68"/>
    </row>
    <row r="1659" spans="1:7" x14ac:dyDescent="0.2">
      <c r="A1659" s="68"/>
      <c r="E1659" s="68"/>
      <c r="G1659" s="68"/>
    </row>
    <row r="1660" spans="1:7" x14ac:dyDescent="0.2">
      <c r="A1660" s="68"/>
      <c r="E1660" s="68"/>
      <c r="G1660" s="68"/>
    </row>
    <row r="1661" spans="1:7" x14ac:dyDescent="0.2">
      <c r="A1661" s="68"/>
      <c r="E1661" s="68"/>
      <c r="G1661" s="68"/>
    </row>
    <row r="1662" spans="1:7" x14ac:dyDescent="0.2">
      <c r="A1662" s="68"/>
      <c r="E1662" s="68"/>
      <c r="G1662" s="68"/>
    </row>
    <row r="1663" spans="1:7" x14ac:dyDescent="0.2">
      <c r="A1663" s="68"/>
      <c r="E1663" s="68"/>
      <c r="G1663" s="68"/>
    </row>
    <row r="1664" spans="1:7" x14ac:dyDescent="0.2">
      <c r="A1664" s="68"/>
      <c r="E1664" s="68"/>
      <c r="G1664" s="68"/>
    </row>
    <row r="1665" spans="1:7" x14ac:dyDescent="0.2">
      <c r="A1665" s="68"/>
      <c r="E1665" s="68"/>
      <c r="G1665" s="68"/>
    </row>
    <row r="1666" spans="1:7" x14ac:dyDescent="0.2">
      <c r="A1666" s="68"/>
      <c r="E1666" s="68"/>
      <c r="G1666" s="68"/>
    </row>
    <row r="1667" spans="1:7" x14ac:dyDescent="0.2">
      <c r="A1667" s="68"/>
      <c r="E1667" s="68"/>
      <c r="G1667" s="68"/>
    </row>
    <row r="1668" spans="1:7" x14ac:dyDescent="0.2">
      <c r="A1668" s="68"/>
      <c r="E1668" s="68"/>
      <c r="G1668" s="68"/>
    </row>
    <row r="1669" spans="1:7" x14ac:dyDescent="0.2">
      <c r="A1669" s="68"/>
      <c r="E1669" s="68"/>
      <c r="G1669" s="68"/>
    </row>
    <row r="1670" spans="1:7" x14ac:dyDescent="0.2">
      <c r="A1670" s="68"/>
      <c r="E1670" s="68"/>
      <c r="G1670" s="68"/>
    </row>
    <row r="1671" spans="1:7" x14ac:dyDescent="0.2">
      <c r="A1671" s="68"/>
      <c r="E1671" s="68"/>
      <c r="G1671" s="68"/>
    </row>
    <row r="1672" spans="1:7" x14ac:dyDescent="0.2">
      <c r="A1672" s="68"/>
      <c r="E1672" s="68"/>
      <c r="G1672" s="68"/>
    </row>
    <row r="1673" spans="1:7" x14ac:dyDescent="0.2">
      <c r="A1673" s="68"/>
      <c r="E1673" s="68"/>
      <c r="G1673" s="68"/>
    </row>
    <row r="1674" spans="1:7" x14ac:dyDescent="0.2">
      <c r="A1674" s="68"/>
      <c r="E1674" s="68"/>
      <c r="G1674" s="68"/>
    </row>
    <row r="1675" spans="1:7" x14ac:dyDescent="0.2">
      <c r="A1675" s="68"/>
      <c r="E1675" s="68"/>
      <c r="G1675" s="68"/>
    </row>
    <row r="1676" spans="1:7" x14ac:dyDescent="0.2">
      <c r="A1676" s="68"/>
      <c r="E1676" s="68"/>
      <c r="G1676" s="68"/>
    </row>
    <row r="1677" spans="1:7" x14ac:dyDescent="0.2">
      <c r="A1677" s="68"/>
      <c r="E1677" s="68"/>
      <c r="G1677" s="68"/>
    </row>
    <row r="1678" spans="1:7" x14ac:dyDescent="0.2">
      <c r="A1678" s="68"/>
      <c r="E1678" s="68"/>
      <c r="G1678" s="68"/>
    </row>
    <row r="1679" spans="1:7" x14ac:dyDescent="0.2">
      <c r="A1679" s="68"/>
      <c r="E1679" s="68"/>
      <c r="G1679" s="68"/>
    </row>
    <row r="1680" spans="1:7" x14ac:dyDescent="0.2">
      <c r="A1680" s="68"/>
      <c r="E1680" s="68"/>
      <c r="G1680" s="68"/>
    </row>
    <row r="1681" spans="1:7" x14ac:dyDescent="0.2">
      <c r="A1681" s="68"/>
      <c r="E1681" s="68"/>
      <c r="G1681" s="68"/>
    </row>
    <row r="1682" spans="1:7" x14ac:dyDescent="0.2">
      <c r="A1682" s="68"/>
      <c r="E1682" s="68"/>
      <c r="G1682" s="68"/>
    </row>
    <row r="1683" spans="1:7" x14ac:dyDescent="0.2">
      <c r="A1683" s="68"/>
      <c r="E1683" s="68"/>
      <c r="G1683" s="68"/>
    </row>
    <row r="1684" spans="1:7" x14ac:dyDescent="0.2">
      <c r="A1684" s="68"/>
      <c r="E1684" s="68"/>
      <c r="G1684" s="68"/>
    </row>
    <row r="1685" spans="1:7" x14ac:dyDescent="0.2">
      <c r="A1685" s="68"/>
      <c r="E1685" s="68"/>
      <c r="G1685" s="68"/>
    </row>
    <row r="1686" spans="1:7" x14ac:dyDescent="0.2">
      <c r="A1686" s="68"/>
      <c r="E1686" s="68"/>
      <c r="G1686" s="68"/>
    </row>
    <row r="1687" spans="1:7" x14ac:dyDescent="0.2">
      <c r="A1687" s="68"/>
      <c r="E1687" s="68"/>
      <c r="G1687" s="68"/>
    </row>
    <row r="1688" spans="1:7" x14ac:dyDescent="0.2">
      <c r="A1688" s="68"/>
      <c r="E1688" s="68"/>
      <c r="G1688" s="68"/>
    </row>
    <row r="1689" spans="1:7" x14ac:dyDescent="0.2">
      <c r="A1689" s="68"/>
      <c r="E1689" s="68"/>
      <c r="G1689" s="68"/>
    </row>
    <row r="1690" spans="1:7" x14ac:dyDescent="0.2">
      <c r="A1690" s="68"/>
      <c r="E1690" s="68"/>
      <c r="G1690" s="68"/>
    </row>
    <row r="1691" spans="1:7" x14ac:dyDescent="0.2">
      <c r="A1691" s="68"/>
      <c r="E1691" s="68"/>
      <c r="G1691" s="68"/>
    </row>
    <row r="1692" spans="1:7" x14ac:dyDescent="0.2">
      <c r="A1692" s="68"/>
      <c r="E1692" s="68"/>
      <c r="G1692" s="68"/>
    </row>
    <row r="1693" spans="1:7" x14ac:dyDescent="0.2">
      <c r="A1693" s="68"/>
      <c r="E1693" s="68"/>
      <c r="G1693" s="68"/>
    </row>
    <row r="1694" spans="1:7" x14ac:dyDescent="0.2">
      <c r="A1694" s="68"/>
      <c r="E1694" s="68"/>
      <c r="G1694" s="68"/>
    </row>
    <row r="1695" spans="1:7" x14ac:dyDescent="0.2">
      <c r="A1695" s="68"/>
      <c r="E1695" s="68"/>
      <c r="G1695" s="68"/>
    </row>
    <row r="1696" spans="1:7" x14ac:dyDescent="0.2">
      <c r="A1696" s="68"/>
      <c r="E1696" s="68"/>
      <c r="G1696" s="68"/>
    </row>
    <row r="1697" spans="1:7" x14ac:dyDescent="0.2">
      <c r="A1697" s="68"/>
      <c r="E1697" s="68"/>
      <c r="G1697" s="68"/>
    </row>
    <row r="1698" spans="1:7" x14ac:dyDescent="0.2">
      <c r="A1698" s="68"/>
      <c r="E1698" s="68"/>
      <c r="G1698" s="68"/>
    </row>
    <row r="1699" spans="1:7" x14ac:dyDescent="0.2">
      <c r="A1699" s="68"/>
      <c r="E1699" s="68"/>
      <c r="G1699" s="68"/>
    </row>
    <row r="1700" spans="1:7" x14ac:dyDescent="0.2">
      <c r="A1700" s="68"/>
      <c r="E1700" s="68"/>
      <c r="G1700" s="68"/>
    </row>
    <row r="1701" spans="1:7" x14ac:dyDescent="0.2">
      <c r="A1701" s="68"/>
      <c r="E1701" s="68"/>
      <c r="G1701" s="68"/>
    </row>
    <row r="1702" spans="1:7" x14ac:dyDescent="0.2">
      <c r="A1702" s="68"/>
      <c r="E1702" s="68"/>
      <c r="G1702" s="68"/>
    </row>
    <row r="1703" spans="1:7" x14ac:dyDescent="0.2">
      <c r="A1703" s="68"/>
      <c r="E1703" s="68"/>
      <c r="G1703" s="68"/>
    </row>
    <row r="1704" spans="1:7" x14ac:dyDescent="0.2">
      <c r="A1704" s="68"/>
      <c r="E1704" s="68"/>
      <c r="G1704" s="68"/>
    </row>
    <row r="1705" spans="1:7" x14ac:dyDescent="0.2">
      <c r="A1705" s="68"/>
      <c r="E1705" s="68"/>
      <c r="G1705" s="68"/>
    </row>
    <row r="1706" spans="1:7" x14ac:dyDescent="0.2">
      <c r="A1706" s="68"/>
      <c r="E1706" s="68"/>
      <c r="G1706" s="68"/>
    </row>
    <row r="1707" spans="1:7" x14ac:dyDescent="0.2">
      <c r="A1707" s="68"/>
      <c r="E1707" s="68"/>
      <c r="G1707" s="68"/>
    </row>
    <row r="1708" spans="1:7" x14ac:dyDescent="0.2">
      <c r="A1708" s="68"/>
      <c r="E1708" s="68"/>
      <c r="G1708" s="68"/>
    </row>
    <row r="1709" spans="1:7" x14ac:dyDescent="0.2">
      <c r="A1709" s="68"/>
      <c r="E1709" s="68"/>
      <c r="G1709" s="68"/>
    </row>
    <row r="1710" spans="1:7" x14ac:dyDescent="0.2">
      <c r="A1710" s="68"/>
      <c r="E1710" s="68"/>
      <c r="G1710" s="68"/>
    </row>
    <row r="1711" spans="1:7" x14ac:dyDescent="0.2">
      <c r="A1711" s="68"/>
      <c r="E1711" s="68"/>
      <c r="G1711" s="68"/>
    </row>
    <row r="1712" spans="1:7" x14ac:dyDescent="0.2">
      <c r="A1712" s="68"/>
      <c r="E1712" s="68"/>
      <c r="G1712" s="68"/>
    </row>
    <row r="1713" spans="1:7" x14ac:dyDescent="0.2">
      <c r="A1713" s="68"/>
      <c r="E1713" s="68"/>
      <c r="G1713" s="68"/>
    </row>
    <row r="1714" spans="1:7" x14ac:dyDescent="0.2">
      <c r="A1714" s="68"/>
      <c r="E1714" s="68"/>
      <c r="G1714" s="68"/>
    </row>
    <row r="1715" spans="1:7" x14ac:dyDescent="0.2">
      <c r="A1715" s="68"/>
      <c r="E1715" s="68"/>
      <c r="G1715" s="68"/>
    </row>
    <row r="1716" spans="1:7" x14ac:dyDescent="0.2">
      <c r="A1716" s="68"/>
      <c r="E1716" s="68"/>
      <c r="G1716" s="68"/>
    </row>
    <row r="1717" spans="1:7" x14ac:dyDescent="0.2">
      <c r="A1717" s="68"/>
      <c r="E1717" s="68"/>
      <c r="G1717" s="68"/>
    </row>
    <row r="1718" spans="1:7" x14ac:dyDescent="0.2">
      <c r="A1718" s="68"/>
      <c r="E1718" s="68"/>
      <c r="G1718" s="68"/>
    </row>
    <row r="1719" spans="1:7" x14ac:dyDescent="0.2">
      <c r="A1719" s="68"/>
      <c r="E1719" s="68"/>
      <c r="G1719" s="68"/>
    </row>
    <row r="1720" spans="1:7" x14ac:dyDescent="0.2">
      <c r="A1720" s="68"/>
      <c r="E1720" s="68"/>
      <c r="G1720" s="68"/>
    </row>
    <row r="1721" spans="1:7" x14ac:dyDescent="0.2">
      <c r="A1721" s="68"/>
      <c r="E1721" s="68"/>
      <c r="G1721" s="68"/>
    </row>
    <row r="1722" spans="1:7" x14ac:dyDescent="0.2">
      <c r="A1722" s="68"/>
      <c r="E1722" s="68"/>
      <c r="G1722" s="68"/>
    </row>
    <row r="1723" spans="1:7" x14ac:dyDescent="0.2">
      <c r="A1723" s="68"/>
      <c r="E1723" s="68"/>
      <c r="G1723" s="68"/>
    </row>
    <row r="1724" spans="1:7" x14ac:dyDescent="0.2">
      <c r="A1724" s="68"/>
      <c r="E1724" s="68"/>
      <c r="G1724" s="68"/>
    </row>
    <row r="1725" spans="1:7" x14ac:dyDescent="0.2">
      <c r="A1725" s="68"/>
      <c r="E1725" s="68"/>
      <c r="G1725" s="68"/>
    </row>
    <row r="1726" spans="1:7" x14ac:dyDescent="0.2">
      <c r="A1726" s="68"/>
      <c r="E1726" s="68"/>
      <c r="G1726" s="68"/>
    </row>
    <row r="1727" spans="1:7" x14ac:dyDescent="0.2">
      <c r="A1727" s="68"/>
      <c r="E1727" s="68"/>
      <c r="G1727" s="68"/>
    </row>
    <row r="1728" spans="1:7" x14ac:dyDescent="0.2">
      <c r="A1728" s="68"/>
      <c r="E1728" s="68"/>
      <c r="G1728" s="68"/>
    </row>
    <row r="1729" spans="1:7" x14ac:dyDescent="0.2">
      <c r="A1729" s="68"/>
      <c r="E1729" s="68"/>
      <c r="G1729" s="68"/>
    </row>
    <row r="1730" spans="1:7" x14ac:dyDescent="0.2">
      <c r="A1730" s="68"/>
      <c r="E1730" s="68"/>
      <c r="G1730" s="68"/>
    </row>
    <row r="1731" spans="1:7" x14ac:dyDescent="0.2">
      <c r="A1731" s="68"/>
      <c r="E1731" s="68"/>
      <c r="G1731" s="68"/>
    </row>
    <row r="1732" spans="1:7" x14ac:dyDescent="0.2">
      <c r="A1732" s="68"/>
      <c r="E1732" s="68"/>
      <c r="G1732" s="68"/>
    </row>
    <row r="1733" spans="1:7" x14ac:dyDescent="0.2">
      <c r="A1733" s="68"/>
      <c r="E1733" s="68"/>
      <c r="G1733" s="68"/>
    </row>
    <row r="1734" spans="1:7" x14ac:dyDescent="0.2">
      <c r="A1734" s="68"/>
      <c r="E1734" s="68"/>
      <c r="G1734" s="68"/>
    </row>
    <row r="1735" spans="1:7" x14ac:dyDescent="0.2">
      <c r="A1735" s="68"/>
      <c r="E1735" s="68"/>
      <c r="G1735" s="68"/>
    </row>
    <row r="1736" spans="1:7" x14ac:dyDescent="0.2">
      <c r="A1736" s="68"/>
      <c r="E1736" s="68"/>
      <c r="G1736" s="68"/>
    </row>
    <row r="1737" spans="1:7" x14ac:dyDescent="0.2">
      <c r="A1737" s="68"/>
      <c r="E1737" s="68"/>
      <c r="G1737" s="68"/>
    </row>
    <row r="1738" spans="1:7" x14ac:dyDescent="0.2">
      <c r="A1738" s="68"/>
      <c r="E1738" s="68"/>
      <c r="G1738" s="68"/>
    </row>
    <row r="1739" spans="1:7" x14ac:dyDescent="0.2">
      <c r="A1739" s="68"/>
      <c r="E1739" s="68"/>
      <c r="G1739" s="68"/>
    </row>
    <row r="1740" spans="1:7" x14ac:dyDescent="0.2">
      <c r="A1740" s="68"/>
      <c r="E1740" s="68"/>
      <c r="G1740" s="68"/>
    </row>
    <row r="1741" spans="1:7" x14ac:dyDescent="0.2">
      <c r="A1741" s="68"/>
      <c r="E1741" s="68"/>
      <c r="G1741" s="68"/>
    </row>
    <row r="1742" spans="1:7" x14ac:dyDescent="0.2">
      <c r="A1742" s="68"/>
      <c r="E1742" s="68"/>
      <c r="G1742" s="68"/>
    </row>
    <row r="1743" spans="1:7" x14ac:dyDescent="0.2">
      <c r="A1743" s="68"/>
      <c r="E1743" s="68"/>
      <c r="G1743" s="68"/>
    </row>
    <row r="1744" spans="1:7" x14ac:dyDescent="0.2">
      <c r="A1744" s="68"/>
      <c r="E1744" s="68"/>
      <c r="G1744" s="68"/>
    </row>
    <row r="1745" spans="1:7" x14ac:dyDescent="0.2">
      <c r="A1745" s="68"/>
      <c r="E1745" s="68"/>
      <c r="G1745" s="68"/>
    </row>
    <row r="1746" spans="1:7" x14ac:dyDescent="0.2">
      <c r="A1746" s="68"/>
      <c r="E1746" s="68"/>
      <c r="G1746" s="68"/>
    </row>
    <row r="1747" spans="1:7" x14ac:dyDescent="0.2">
      <c r="A1747" s="68"/>
      <c r="E1747" s="68"/>
      <c r="G1747" s="68"/>
    </row>
    <row r="1748" spans="1:7" x14ac:dyDescent="0.2">
      <c r="A1748" s="68"/>
      <c r="E1748" s="68"/>
      <c r="G1748" s="68"/>
    </row>
    <row r="1749" spans="1:7" x14ac:dyDescent="0.2">
      <c r="A1749" s="68"/>
      <c r="E1749" s="68"/>
      <c r="G1749" s="68"/>
    </row>
    <row r="1750" spans="1:7" x14ac:dyDescent="0.2">
      <c r="A1750" s="68"/>
      <c r="E1750" s="68"/>
      <c r="G1750" s="68"/>
    </row>
    <row r="1751" spans="1:7" x14ac:dyDescent="0.2">
      <c r="A1751" s="68"/>
      <c r="E1751" s="68"/>
      <c r="G1751" s="68"/>
    </row>
    <row r="1752" spans="1:7" x14ac:dyDescent="0.2">
      <c r="A1752" s="68"/>
      <c r="E1752" s="68"/>
      <c r="G1752" s="68"/>
    </row>
    <row r="1753" spans="1:7" x14ac:dyDescent="0.2">
      <c r="A1753" s="68"/>
      <c r="E1753" s="68"/>
      <c r="G1753" s="68"/>
    </row>
    <row r="1754" spans="1:7" x14ac:dyDescent="0.2">
      <c r="A1754" s="68"/>
      <c r="E1754" s="68"/>
      <c r="G1754" s="68"/>
    </row>
    <row r="1755" spans="1:7" x14ac:dyDescent="0.2">
      <c r="A1755" s="68"/>
      <c r="E1755" s="68"/>
      <c r="G1755" s="68"/>
    </row>
    <row r="1756" spans="1:7" x14ac:dyDescent="0.2">
      <c r="A1756" s="68"/>
      <c r="E1756" s="68"/>
      <c r="G1756" s="68"/>
    </row>
    <row r="1757" spans="1:7" x14ac:dyDescent="0.2">
      <c r="A1757" s="68"/>
      <c r="E1757" s="68"/>
      <c r="G1757" s="68"/>
    </row>
    <row r="1758" spans="1:7" x14ac:dyDescent="0.2">
      <c r="A1758" s="68"/>
      <c r="E1758" s="68"/>
      <c r="G1758" s="68"/>
    </row>
    <row r="1759" spans="1:7" x14ac:dyDescent="0.2">
      <c r="A1759" s="68"/>
      <c r="E1759" s="68"/>
      <c r="G1759" s="68"/>
    </row>
    <row r="1760" spans="1:7" x14ac:dyDescent="0.2">
      <c r="A1760" s="68"/>
      <c r="E1760" s="68"/>
      <c r="G1760" s="68"/>
    </row>
    <row r="1761" spans="1:7" x14ac:dyDescent="0.2">
      <c r="A1761" s="68"/>
      <c r="E1761" s="68"/>
      <c r="G1761" s="68"/>
    </row>
    <row r="1762" spans="1:7" x14ac:dyDescent="0.2">
      <c r="A1762" s="68"/>
      <c r="E1762" s="68"/>
      <c r="G1762" s="68"/>
    </row>
    <row r="1763" spans="1:7" x14ac:dyDescent="0.2">
      <c r="A1763" s="68"/>
      <c r="E1763" s="68"/>
      <c r="G1763" s="68"/>
    </row>
    <row r="1764" spans="1:7" x14ac:dyDescent="0.2">
      <c r="A1764" s="68"/>
      <c r="E1764" s="68"/>
      <c r="G1764" s="68"/>
    </row>
    <row r="1765" spans="1:7" x14ac:dyDescent="0.2">
      <c r="A1765" s="68"/>
      <c r="E1765" s="68"/>
      <c r="G1765" s="68"/>
    </row>
    <row r="1766" spans="1:7" x14ac:dyDescent="0.2">
      <c r="A1766" s="68"/>
      <c r="E1766" s="68"/>
      <c r="G1766" s="68"/>
    </row>
    <row r="1767" spans="1:7" x14ac:dyDescent="0.2">
      <c r="A1767" s="68"/>
      <c r="E1767" s="68"/>
      <c r="G1767" s="68"/>
    </row>
    <row r="1768" spans="1:7" x14ac:dyDescent="0.2">
      <c r="A1768" s="68"/>
      <c r="E1768" s="68"/>
      <c r="G1768" s="68"/>
    </row>
    <row r="1769" spans="1:7" x14ac:dyDescent="0.2">
      <c r="A1769" s="68"/>
      <c r="E1769" s="68"/>
      <c r="G1769" s="68"/>
    </row>
    <row r="1770" spans="1:7" x14ac:dyDescent="0.2">
      <c r="A1770" s="68"/>
      <c r="E1770" s="68"/>
      <c r="G1770" s="68"/>
    </row>
    <row r="1771" spans="1:7" x14ac:dyDescent="0.2">
      <c r="A1771" s="68"/>
      <c r="E1771" s="68"/>
      <c r="G1771" s="68"/>
    </row>
    <row r="1772" spans="1:7" x14ac:dyDescent="0.2">
      <c r="A1772" s="68"/>
      <c r="E1772" s="68"/>
      <c r="G1772" s="68"/>
    </row>
    <row r="1773" spans="1:7" x14ac:dyDescent="0.2">
      <c r="A1773" s="68"/>
      <c r="E1773" s="68"/>
      <c r="G1773" s="68"/>
    </row>
    <row r="1774" spans="1:7" x14ac:dyDescent="0.2">
      <c r="A1774" s="68"/>
      <c r="E1774" s="68"/>
      <c r="G1774" s="68"/>
    </row>
    <row r="1775" spans="1:7" x14ac:dyDescent="0.2">
      <c r="A1775" s="68"/>
      <c r="E1775" s="68"/>
      <c r="G1775" s="68"/>
    </row>
    <row r="1776" spans="1:7" x14ac:dyDescent="0.2">
      <c r="A1776" s="68"/>
      <c r="E1776" s="68"/>
      <c r="G1776" s="68"/>
    </row>
    <row r="1777" spans="1:7" x14ac:dyDescent="0.2">
      <c r="A1777" s="68"/>
      <c r="E1777" s="68"/>
      <c r="G1777" s="68"/>
    </row>
    <row r="1778" spans="1:7" x14ac:dyDescent="0.2">
      <c r="A1778" s="68"/>
      <c r="E1778" s="68"/>
      <c r="G1778" s="68"/>
    </row>
    <row r="1779" spans="1:7" x14ac:dyDescent="0.2">
      <c r="A1779" s="68"/>
      <c r="E1779" s="68"/>
      <c r="G1779" s="68"/>
    </row>
    <row r="1780" spans="1:7" x14ac:dyDescent="0.2">
      <c r="A1780" s="68"/>
      <c r="E1780" s="68"/>
      <c r="G1780" s="68"/>
    </row>
    <row r="1781" spans="1:7" x14ac:dyDescent="0.2">
      <c r="A1781" s="68"/>
      <c r="E1781" s="68"/>
      <c r="G1781" s="68"/>
    </row>
    <row r="1782" spans="1:7" x14ac:dyDescent="0.2">
      <c r="A1782" s="68"/>
      <c r="E1782" s="68"/>
      <c r="G1782" s="68"/>
    </row>
    <row r="1783" spans="1:7" x14ac:dyDescent="0.2">
      <c r="A1783" s="68"/>
      <c r="E1783" s="68"/>
      <c r="G1783" s="68"/>
    </row>
    <row r="1784" spans="1:7" x14ac:dyDescent="0.2">
      <c r="A1784" s="68"/>
      <c r="E1784" s="68"/>
      <c r="G1784" s="68"/>
    </row>
    <row r="1785" spans="1:7" x14ac:dyDescent="0.2">
      <c r="A1785" s="68"/>
      <c r="E1785" s="68"/>
      <c r="G1785" s="68"/>
    </row>
    <row r="1786" spans="1:7" x14ac:dyDescent="0.2">
      <c r="A1786" s="68"/>
      <c r="E1786" s="68"/>
      <c r="G1786" s="68"/>
    </row>
    <row r="1787" spans="1:7" x14ac:dyDescent="0.2">
      <c r="A1787" s="68"/>
      <c r="E1787" s="68"/>
      <c r="G1787" s="68"/>
    </row>
    <row r="1788" spans="1:7" x14ac:dyDescent="0.2">
      <c r="A1788" s="68"/>
      <c r="E1788" s="68"/>
      <c r="G1788" s="68"/>
    </row>
    <row r="1789" spans="1:7" x14ac:dyDescent="0.2">
      <c r="A1789" s="68"/>
      <c r="E1789" s="68"/>
      <c r="G1789" s="68"/>
    </row>
    <row r="1790" spans="1:7" x14ac:dyDescent="0.2">
      <c r="A1790" s="68"/>
      <c r="E1790" s="68"/>
      <c r="G1790" s="68"/>
    </row>
    <row r="1791" spans="1:7" x14ac:dyDescent="0.2">
      <c r="A1791" s="68"/>
      <c r="E1791" s="68"/>
      <c r="G1791" s="68"/>
    </row>
    <row r="1792" spans="1:7" x14ac:dyDescent="0.2">
      <c r="A1792" s="68"/>
      <c r="E1792" s="68"/>
      <c r="G1792" s="68"/>
    </row>
    <row r="1793" spans="1:7" x14ac:dyDescent="0.2">
      <c r="A1793" s="68"/>
      <c r="E1793" s="68"/>
      <c r="G1793" s="68"/>
    </row>
    <row r="1794" spans="1:7" x14ac:dyDescent="0.2">
      <c r="A1794" s="68"/>
      <c r="E1794" s="68"/>
      <c r="G1794" s="68"/>
    </row>
    <row r="1795" spans="1:7" x14ac:dyDescent="0.2">
      <c r="A1795" s="68"/>
      <c r="E1795" s="68"/>
      <c r="G1795" s="68"/>
    </row>
    <row r="1796" spans="1:7" x14ac:dyDescent="0.2">
      <c r="A1796" s="68"/>
      <c r="E1796" s="68"/>
      <c r="G1796" s="68"/>
    </row>
    <row r="1797" spans="1:7" x14ac:dyDescent="0.2">
      <c r="A1797" s="68"/>
      <c r="E1797" s="68"/>
      <c r="G1797" s="68"/>
    </row>
    <row r="1798" spans="1:7" x14ac:dyDescent="0.2">
      <c r="A1798" s="68"/>
      <c r="E1798" s="68"/>
      <c r="G1798" s="68"/>
    </row>
    <row r="1799" spans="1:7" x14ac:dyDescent="0.2">
      <c r="A1799" s="68"/>
      <c r="E1799" s="68"/>
      <c r="G1799" s="68"/>
    </row>
    <row r="1800" spans="1:7" x14ac:dyDescent="0.2">
      <c r="A1800" s="68"/>
      <c r="E1800" s="68"/>
      <c r="G1800" s="68"/>
    </row>
    <row r="1801" spans="1:7" x14ac:dyDescent="0.2">
      <c r="A1801" s="68"/>
      <c r="E1801" s="68"/>
      <c r="G1801" s="68"/>
    </row>
    <row r="1802" spans="1:7" x14ac:dyDescent="0.2">
      <c r="A1802" s="68"/>
      <c r="E1802" s="68"/>
      <c r="G1802" s="68"/>
    </row>
    <row r="1803" spans="1:7" x14ac:dyDescent="0.2">
      <c r="A1803" s="68"/>
      <c r="E1803" s="68"/>
      <c r="G1803" s="68"/>
    </row>
    <row r="1804" spans="1:7" x14ac:dyDescent="0.2">
      <c r="A1804" s="68"/>
      <c r="E1804" s="68"/>
      <c r="G1804" s="68"/>
    </row>
    <row r="1805" spans="1:7" x14ac:dyDescent="0.2">
      <c r="A1805" s="68"/>
      <c r="E1805" s="68"/>
      <c r="G1805" s="68"/>
    </row>
    <row r="1806" spans="1:7" x14ac:dyDescent="0.2">
      <c r="A1806" s="68"/>
      <c r="E1806" s="68"/>
      <c r="G1806" s="68"/>
    </row>
    <row r="1807" spans="1:7" x14ac:dyDescent="0.2">
      <c r="A1807" s="68"/>
      <c r="E1807" s="68"/>
      <c r="G1807" s="68"/>
    </row>
    <row r="1808" spans="1:7" x14ac:dyDescent="0.2">
      <c r="A1808" s="68"/>
      <c r="E1808" s="68"/>
      <c r="G1808" s="68"/>
    </row>
    <row r="1809" spans="1:7" x14ac:dyDescent="0.2">
      <c r="A1809" s="68"/>
      <c r="E1809" s="68"/>
      <c r="G1809" s="68"/>
    </row>
    <row r="1810" spans="1:7" x14ac:dyDescent="0.2">
      <c r="A1810" s="68"/>
      <c r="E1810" s="68"/>
      <c r="G1810" s="68"/>
    </row>
    <row r="1811" spans="1:7" x14ac:dyDescent="0.2">
      <c r="A1811" s="68"/>
      <c r="E1811" s="68"/>
      <c r="G1811" s="68"/>
    </row>
    <row r="1812" spans="1:7" x14ac:dyDescent="0.2">
      <c r="A1812" s="68"/>
      <c r="E1812" s="68"/>
      <c r="G1812" s="68"/>
    </row>
    <row r="1813" spans="1:7" x14ac:dyDescent="0.2">
      <c r="A1813" s="68"/>
      <c r="E1813" s="68"/>
      <c r="G1813" s="68"/>
    </row>
    <row r="1814" spans="1:7" x14ac:dyDescent="0.2">
      <c r="A1814" s="68"/>
      <c r="E1814" s="68"/>
      <c r="G1814" s="68"/>
    </row>
    <row r="1815" spans="1:7" x14ac:dyDescent="0.2">
      <c r="A1815" s="68"/>
      <c r="E1815" s="68"/>
      <c r="G1815" s="68"/>
    </row>
    <row r="1816" spans="1:7" x14ac:dyDescent="0.2">
      <c r="A1816" s="68"/>
      <c r="E1816" s="68"/>
      <c r="G1816" s="68"/>
    </row>
    <row r="1817" spans="1:7" x14ac:dyDescent="0.2">
      <c r="A1817" s="68"/>
      <c r="E1817" s="68"/>
      <c r="G1817" s="68"/>
    </row>
    <row r="1818" spans="1:7" x14ac:dyDescent="0.2">
      <c r="A1818" s="68"/>
      <c r="E1818" s="68"/>
      <c r="G1818" s="68"/>
    </row>
    <row r="1819" spans="1:7" x14ac:dyDescent="0.2">
      <c r="A1819" s="68"/>
      <c r="E1819" s="68"/>
      <c r="G1819" s="68"/>
    </row>
    <row r="1820" spans="1:7" x14ac:dyDescent="0.2">
      <c r="A1820" s="68"/>
      <c r="E1820" s="68"/>
      <c r="G1820" s="68"/>
    </row>
    <row r="1821" spans="1:7" x14ac:dyDescent="0.2">
      <c r="A1821" s="68"/>
      <c r="E1821" s="68"/>
      <c r="G1821" s="68"/>
    </row>
    <row r="1822" spans="1:7" x14ac:dyDescent="0.2">
      <c r="A1822" s="68"/>
      <c r="E1822" s="68"/>
      <c r="G1822" s="68"/>
    </row>
    <row r="1823" spans="1:7" x14ac:dyDescent="0.2">
      <c r="A1823" s="68"/>
      <c r="E1823" s="68"/>
      <c r="G1823" s="68"/>
    </row>
    <row r="1824" spans="1:7" x14ac:dyDescent="0.2">
      <c r="A1824" s="68"/>
      <c r="E1824" s="68"/>
      <c r="G1824" s="68"/>
    </row>
    <row r="1825" spans="1:7" x14ac:dyDescent="0.2">
      <c r="A1825" s="68"/>
      <c r="E1825" s="68"/>
      <c r="G1825" s="68"/>
    </row>
    <row r="1826" spans="1:7" x14ac:dyDescent="0.2">
      <c r="A1826" s="68"/>
      <c r="E1826" s="68"/>
      <c r="G1826" s="68"/>
    </row>
    <row r="1827" spans="1:7" x14ac:dyDescent="0.2">
      <c r="A1827" s="68"/>
      <c r="E1827" s="68"/>
      <c r="G1827" s="68"/>
    </row>
    <row r="1828" spans="1:7" x14ac:dyDescent="0.2">
      <c r="A1828" s="68"/>
      <c r="E1828" s="68"/>
      <c r="G1828" s="68"/>
    </row>
    <row r="1829" spans="1:7" x14ac:dyDescent="0.2">
      <c r="A1829" s="68"/>
      <c r="E1829" s="68"/>
      <c r="G1829" s="68"/>
    </row>
    <row r="1830" spans="1:7" x14ac:dyDescent="0.2">
      <c r="A1830" s="68"/>
      <c r="E1830" s="68"/>
      <c r="G1830" s="68"/>
    </row>
    <row r="1831" spans="1:7" x14ac:dyDescent="0.2">
      <c r="A1831" s="68"/>
      <c r="E1831" s="68"/>
      <c r="G1831" s="68"/>
    </row>
    <row r="1832" spans="1:7" x14ac:dyDescent="0.2">
      <c r="A1832" s="68"/>
      <c r="E1832" s="68"/>
      <c r="G1832" s="68"/>
    </row>
    <row r="1833" spans="1:7" x14ac:dyDescent="0.2">
      <c r="A1833" s="68"/>
      <c r="E1833" s="68"/>
      <c r="G1833" s="68"/>
    </row>
    <row r="1834" spans="1:7" x14ac:dyDescent="0.2">
      <c r="A1834" s="68"/>
      <c r="E1834" s="68"/>
      <c r="G1834" s="68"/>
    </row>
    <row r="1835" spans="1:7" x14ac:dyDescent="0.2">
      <c r="A1835" s="68"/>
      <c r="E1835" s="68"/>
      <c r="G1835" s="68"/>
    </row>
    <row r="1836" spans="1:7" x14ac:dyDescent="0.2">
      <c r="A1836" s="68"/>
      <c r="E1836" s="68"/>
      <c r="G1836" s="68"/>
    </row>
    <row r="1837" spans="1:7" x14ac:dyDescent="0.2">
      <c r="A1837" s="68"/>
      <c r="E1837" s="68"/>
      <c r="G1837" s="68"/>
    </row>
    <row r="1838" spans="1:7" x14ac:dyDescent="0.2">
      <c r="A1838" s="68"/>
      <c r="E1838" s="68"/>
      <c r="G1838" s="68"/>
    </row>
    <row r="1839" spans="1:7" x14ac:dyDescent="0.2">
      <c r="A1839" s="68"/>
      <c r="E1839" s="68"/>
      <c r="G1839" s="68"/>
    </row>
    <row r="1840" spans="1:7" x14ac:dyDescent="0.2">
      <c r="A1840" s="68"/>
      <c r="E1840" s="68"/>
      <c r="G1840" s="68"/>
    </row>
    <row r="1841" spans="1:7" x14ac:dyDescent="0.2">
      <c r="A1841" s="68"/>
      <c r="E1841" s="68"/>
      <c r="G1841" s="68"/>
    </row>
    <row r="1842" spans="1:7" x14ac:dyDescent="0.2">
      <c r="A1842" s="68"/>
      <c r="E1842" s="68"/>
      <c r="G1842" s="68"/>
    </row>
    <row r="1843" spans="1:7" x14ac:dyDescent="0.2">
      <c r="A1843" s="68"/>
      <c r="E1843" s="68"/>
      <c r="G1843" s="68"/>
    </row>
    <row r="1844" spans="1:7" x14ac:dyDescent="0.2">
      <c r="A1844" s="68"/>
      <c r="E1844" s="68"/>
      <c r="G1844" s="68"/>
    </row>
    <row r="1845" spans="1:7" x14ac:dyDescent="0.2">
      <c r="A1845" s="68"/>
      <c r="E1845" s="68"/>
      <c r="G1845" s="68"/>
    </row>
    <row r="1846" spans="1:7" x14ac:dyDescent="0.2">
      <c r="A1846" s="68"/>
      <c r="E1846" s="68"/>
      <c r="G1846" s="68"/>
    </row>
    <row r="1847" spans="1:7" x14ac:dyDescent="0.2">
      <c r="A1847" s="68"/>
      <c r="E1847" s="68"/>
      <c r="G1847" s="68"/>
    </row>
    <row r="1848" spans="1:7" x14ac:dyDescent="0.2">
      <c r="A1848" s="68"/>
      <c r="E1848" s="68"/>
      <c r="G1848" s="68"/>
    </row>
    <row r="1849" spans="1:7" x14ac:dyDescent="0.2">
      <c r="A1849" s="68"/>
      <c r="E1849" s="68"/>
      <c r="G1849" s="68"/>
    </row>
    <row r="1850" spans="1:7" x14ac:dyDescent="0.2">
      <c r="A1850" s="68"/>
      <c r="E1850" s="68"/>
      <c r="G1850" s="68"/>
    </row>
    <row r="1851" spans="1:7" x14ac:dyDescent="0.2">
      <c r="A1851" s="68"/>
      <c r="E1851" s="68"/>
      <c r="G1851" s="68"/>
    </row>
    <row r="1852" spans="1:7" x14ac:dyDescent="0.2">
      <c r="A1852" s="68"/>
      <c r="E1852" s="68"/>
      <c r="G1852" s="68"/>
    </row>
    <row r="1853" spans="1:7" x14ac:dyDescent="0.2">
      <c r="A1853" s="68"/>
      <c r="E1853" s="68"/>
      <c r="G1853" s="68"/>
    </row>
    <row r="1854" spans="1:7" x14ac:dyDescent="0.2">
      <c r="A1854" s="68"/>
      <c r="E1854" s="68"/>
      <c r="G1854" s="68"/>
    </row>
    <row r="1855" spans="1:7" x14ac:dyDescent="0.2">
      <c r="A1855" s="68"/>
      <c r="E1855" s="68"/>
      <c r="G1855" s="68"/>
    </row>
    <row r="1856" spans="1:7" x14ac:dyDescent="0.2">
      <c r="A1856" s="68"/>
      <c r="E1856" s="68"/>
      <c r="G1856" s="68"/>
    </row>
    <row r="1857" spans="1:7" x14ac:dyDescent="0.2">
      <c r="A1857" s="68"/>
      <c r="E1857" s="68"/>
      <c r="G1857" s="68"/>
    </row>
    <row r="1858" spans="1:7" x14ac:dyDescent="0.2">
      <c r="A1858" s="68"/>
      <c r="E1858" s="68"/>
      <c r="G1858" s="68"/>
    </row>
    <row r="1859" spans="1:7" x14ac:dyDescent="0.2">
      <c r="A1859" s="68"/>
      <c r="E1859" s="68"/>
      <c r="G1859" s="68"/>
    </row>
    <row r="1860" spans="1:7" x14ac:dyDescent="0.2">
      <c r="A1860" s="68"/>
      <c r="E1860" s="68"/>
      <c r="G1860" s="68"/>
    </row>
    <row r="1861" spans="1:7" x14ac:dyDescent="0.2">
      <c r="A1861" s="68"/>
      <c r="E1861" s="68"/>
      <c r="G1861" s="68"/>
    </row>
    <row r="1862" spans="1:7" x14ac:dyDescent="0.2">
      <c r="A1862" s="68"/>
      <c r="E1862" s="68"/>
      <c r="G1862" s="68"/>
    </row>
    <row r="1863" spans="1:7" x14ac:dyDescent="0.2">
      <c r="A1863" s="68"/>
      <c r="E1863" s="68"/>
      <c r="G1863" s="68"/>
    </row>
    <row r="1864" spans="1:7" x14ac:dyDescent="0.2">
      <c r="A1864" s="68"/>
      <c r="E1864" s="68"/>
      <c r="G1864" s="68"/>
    </row>
    <row r="1865" spans="1:7" x14ac:dyDescent="0.2">
      <c r="A1865" s="68"/>
      <c r="E1865" s="68"/>
      <c r="G1865" s="68"/>
    </row>
    <row r="1866" spans="1:7" x14ac:dyDescent="0.2">
      <c r="A1866" s="68"/>
      <c r="E1866" s="68"/>
      <c r="G1866" s="68"/>
    </row>
    <row r="1867" spans="1:7" x14ac:dyDescent="0.2">
      <c r="A1867" s="68"/>
      <c r="E1867" s="68"/>
      <c r="G1867" s="68"/>
    </row>
    <row r="1868" spans="1:7" x14ac:dyDescent="0.2">
      <c r="A1868" s="68"/>
      <c r="E1868" s="68"/>
      <c r="G1868" s="68"/>
    </row>
    <row r="1869" spans="1:7" x14ac:dyDescent="0.2">
      <c r="A1869" s="68"/>
      <c r="E1869" s="68"/>
      <c r="G1869" s="68"/>
    </row>
    <row r="1870" spans="1:7" x14ac:dyDescent="0.2">
      <c r="A1870" s="68"/>
      <c r="E1870" s="68"/>
      <c r="G1870" s="68"/>
    </row>
    <row r="1871" spans="1:7" x14ac:dyDescent="0.2">
      <c r="A1871" s="68"/>
      <c r="E1871" s="68"/>
      <c r="G1871" s="68"/>
    </row>
    <row r="1872" spans="1:7" x14ac:dyDescent="0.2">
      <c r="A1872" s="68"/>
      <c r="E1872" s="68"/>
      <c r="G1872" s="68"/>
    </row>
    <row r="1873" spans="1:7" x14ac:dyDescent="0.2">
      <c r="A1873" s="68"/>
      <c r="E1873" s="68"/>
      <c r="G1873" s="68"/>
    </row>
    <row r="1874" spans="1:7" x14ac:dyDescent="0.2">
      <c r="A1874" s="68"/>
      <c r="E1874" s="68"/>
      <c r="G1874" s="68"/>
    </row>
    <row r="1875" spans="1:7" x14ac:dyDescent="0.2">
      <c r="A1875" s="68"/>
      <c r="E1875" s="68"/>
      <c r="G1875" s="68"/>
    </row>
    <row r="1876" spans="1:7" x14ac:dyDescent="0.2">
      <c r="A1876" s="68"/>
      <c r="E1876" s="68"/>
      <c r="G1876" s="68"/>
    </row>
    <row r="1877" spans="1:7" x14ac:dyDescent="0.2">
      <c r="A1877" s="68"/>
      <c r="E1877" s="68"/>
      <c r="G1877" s="68"/>
    </row>
    <row r="1878" spans="1:7" x14ac:dyDescent="0.2">
      <c r="A1878" s="68"/>
      <c r="E1878" s="68"/>
      <c r="G1878" s="68"/>
    </row>
    <row r="1879" spans="1:7" x14ac:dyDescent="0.2">
      <c r="A1879" s="68"/>
      <c r="E1879" s="68"/>
      <c r="G1879" s="68"/>
    </row>
    <row r="1880" spans="1:7" x14ac:dyDescent="0.2">
      <c r="A1880" s="68"/>
      <c r="E1880" s="68"/>
      <c r="G1880" s="68"/>
    </row>
    <row r="1881" spans="1:7" x14ac:dyDescent="0.2">
      <c r="A1881" s="68"/>
      <c r="E1881" s="68"/>
      <c r="G1881" s="68"/>
    </row>
    <row r="1882" spans="1:7" x14ac:dyDescent="0.2">
      <c r="A1882" s="68"/>
      <c r="E1882" s="68"/>
      <c r="G1882" s="68"/>
    </row>
    <row r="1883" spans="1:7" x14ac:dyDescent="0.2">
      <c r="A1883" s="68"/>
      <c r="E1883" s="68"/>
      <c r="G1883" s="68"/>
    </row>
    <row r="1884" spans="1:7" x14ac:dyDescent="0.2">
      <c r="A1884" s="68"/>
      <c r="E1884" s="68"/>
      <c r="G1884" s="68"/>
    </row>
    <row r="1885" spans="1:7" x14ac:dyDescent="0.2">
      <c r="A1885" s="68"/>
      <c r="E1885" s="68"/>
      <c r="G1885" s="68"/>
    </row>
    <row r="1886" spans="1:7" x14ac:dyDescent="0.2">
      <c r="A1886" s="68"/>
      <c r="E1886" s="68"/>
      <c r="G1886" s="68"/>
    </row>
    <row r="1887" spans="1:7" x14ac:dyDescent="0.2">
      <c r="A1887" s="68"/>
      <c r="E1887" s="68"/>
      <c r="G1887" s="68"/>
    </row>
    <row r="1888" spans="1:7" x14ac:dyDescent="0.2">
      <c r="A1888" s="68"/>
      <c r="E1888" s="68"/>
      <c r="G1888" s="68"/>
    </row>
    <row r="1889" spans="1:7" x14ac:dyDescent="0.2">
      <c r="A1889" s="68"/>
      <c r="E1889" s="68"/>
      <c r="G1889" s="68"/>
    </row>
    <row r="1890" spans="1:7" x14ac:dyDescent="0.2">
      <c r="A1890" s="68"/>
      <c r="E1890" s="68"/>
      <c r="G1890" s="68"/>
    </row>
    <row r="1891" spans="1:7" x14ac:dyDescent="0.2">
      <c r="A1891" s="68"/>
      <c r="E1891" s="68"/>
      <c r="G1891" s="68"/>
    </row>
    <row r="1892" spans="1:7" x14ac:dyDescent="0.2">
      <c r="A1892" s="68"/>
      <c r="E1892" s="68"/>
      <c r="G1892" s="68"/>
    </row>
    <row r="1893" spans="1:7" x14ac:dyDescent="0.2">
      <c r="A1893" s="68"/>
      <c r="E1893" s="68"/>
      <c r="G1893" s="68"/>
    </row>
    <row r="1894" spans="1:7" x14ac:dyDescent="0.2">
      <c r="A1894" s="68"/>
      <c r="E1894" s="68"/>
      <c r="G1894" s="68"/>
    </row>
    <row r="1895" spans="1:7" x14ac:dyDescent="0.2">
      <c r="A1895" s="68"/>
      <c r="E1895" s="68"/>
      <c r="G1895" s="68"/>
    </row>
    <row r="1896" spans="1:7" x14ac:dyDescent="0.2">
      <c r="A1896" s="68"/>
      <c r="E1896" s="68"/>
      <c r="G1896" s="68"/>
    </row>
    <row r="1897" spans="1:7" x14ac:dyDescent="0.2">
      <c r="A1897" s="68"/>
      <c r="E1897" s="68"/>
      <c r="G1897" s="68"/>
    </row>
    <row r="1898" spans="1:7" x14ac:dyDescent="0.2">
      <c r="A1898" s="68"/>
      <c r="E1898" s="68"/>
      <c r="G1898" s="68"/>
    </row>
    <row r="1899" spans="1:7" x14ac:dyDescent="0.2">
      <c r="A1899" s="68"/>
      <c r="E1899" s="68"/>
      <c r="G1899" s="68"/>
    </row>
    <row r="1900" spans="1:7" x14ac:dyDescent="0.2">
      <c r="A1900" s="68"/>
      <c r="E1900" s="68"/>
      <c r="G1900" s="68"/>
    </row>
    <row r="1901" spans="1:7" x14ac:dyDescent="0.2">
      <c r="A1901" s="68"/>
      <c r="E1901" s="68"/>
      <c r="G1901" s="68"/>
    </row>
    <row r="1902" spans="1:7" x14ac:dyDescent="0.2">
      <c r="A1902" s="68"/>
      <c r="E1902" s="68"/>
      <c r="G1902" s="68"/>
    </row>
    <row r="1903" spans="1:7" x14ac:dyDescent="0.2">
      <c r="A1903" s="68"/>
      <c r="E1903" s="68"/>
      <c r="G1903" s="68"/>
    </row>
    <row r="1904" spans="1:7" x14ac:dyDescent="0.2">
      <c r="A1904" s="68"/>
      <c r="E1904" s="68"/>
      <c r="G1904" s="68"/>
    </row>
    <row r="1905" spans="1:7" x14ac:dyDescent="0.2">
      <c r="A1905" s="68"/>
      <c r="E1905" s="68"/>
      <c r="G1905" s="68"/>
    </row>
    <row r="1906" spans="1:7" x14ac:dyDescent="0.2">
      <c r="A1906" s="68"/>
      <c r="E1906" s="68"/>
      <c r="G1906" s="68"/>
    </row>
    <row r="1907" spans="1:7" x14ac:dyDescent="0.2">
      <c r="A1907" s="68"/>
      <c r="E1907" s="68"/>
      <c r="G1907" s="68"/>
    </row>
    <row r="1908" spans="1:7" x14ac:dyDescent="0.2">
      <c r="A1908" s="68"/>
      <c r="E1908" s="68"/>
      <c r="G1908" s="68"/>
    </row>
    <row r="1909" spans="1:7" x14ac:dyDescent="0.2">
      <c r="A1909" s="68"/>
      <c r="E1909" s="68"/>
      <c r="G1909" s="68"/>
    </row>
    <row r="1910" spans="1:7" x14ac:dyDescent="0.2">
      <c r="A1910" s="68"/>
      <c r="E1910" s="68"/>
      <c r="G1910" s="68"/>
    </row>
    <row r="1911" spans="1:7" x14ac:dyDescent="0.2">
      <c r="A1911" s="68"/>
      <c r="E1911" s="68"/>
      <c r="G1911" s="68"/>
    </row>
    <row r="1912" spans="1:7" x14ac:dyDescent="0.2">
      <c r="A1912" s="68"/>
      <c r="E1912" s="68"/>
      <c r="G1912" s="68"/>
    </row>
    <row r="1913" spans="1:7" x14ac:dyDescent="0.2">
      <c r="A1913" s="68"/>
      <c r="E1913" s="68"/>
      <c r="G1913" s="68"/>
    </row>
    <row r="1914" spans="1:7" x14ac:dyDescent="0.2">
      <c r="A1914" s="68"/>
      <c r="E1914" s="68"/>
      <c r="G1914" s="68"/>
    </row>
    <row r="1915" spans="1:7" x14ac:dyDescent="0.2">
      <c r="A1915" s="68"/>
      <c r="E1915" s="68"/>
      <c r="G1915" s="68"/>
    </row>
    <row r="1916" spans="1:7" x14ac:dyDescent="0.2">
      <c r="A1916" s="68"/>
      <c r="E1916" s="68"/>
      <c r="G1916" s="68"/>
    </row>
    <row r="1917" spans="1:7" x14ac:dyDescent="0.2">
      <c r="A1917" s="68"/>
      <c r="E1917" s="68"/>
      <c r="G1917" s="68"/>
    </row>
    <row r="1918" spans="1:7" x14ac:dyDescent="0.2">
      <c r="A1918" s="68"/>
      <c r="E1918" s="68"/>
      <c r="G1918" s="68"/>
    </row>
    <row r="1919" spans="1:7" x14ac:dyDescent="0.2">
      <c r="A1919" s="68"/>
      <c r="E1919" s="68"/>
      <c r="G1919" s="68"/>
    </row>
    <row r="1920" spans="1:7" x14ac:dyDescent="0.2">
      <c r="A1920" s="68"/>
      <c r="E1920" s="68"/>
      <c r="G1920" s="68"/>
    </row>
    <row r="1921" spans="1:7" x14ac:dyDescent="0.2">
      <c r="A1921" s="68"/>
      <c r="E1921" s="68"/>
      <c r="G1921" s="68"/>
    </row>
    <row r="1922" spans="1:7" x14ac:dyDescent="0.2">
      <c r="A1922" s="68"/>
      <c r="E1922" s="68"/>
      <c r="G1922" s="68"/>
    </row>
    <row r="1923" spans="1:7" x14ac:dyDescent="0.2">
      <c r="A1923" s="68"/>
      <c r="E1923" s="68"/>
      <c r="G1923" s="68"/>
    </row>
    <row r="1924" spans="1:7" x14ac:dyDescent="0.2">
      <c r="A1924" s="68"/>
      <c r="E1924" s="68"/>
      <c r="G1924" s="68"/>
    </row>
    <row r="1925" spans="1:7" x14ac:dyDescent="0.2">
      <c r="A1925" s="68"/>
      <c r="E1925" s="68"/>
      <c r="G1925" s="68"/>
    </row>
    <row r="1926" spans="1:7" x14ac:dyDescent="0.2">
      <c r="A1926" s="68"/>
      <c r="E1926" s="68"/>
      <c r="G1926" s="68"/>
    </row>
    <row r="1927" spans="1:7" x14ac:dyDescent="0.2">
      <c r="A1927" s="68"/>
      <c r="E1927" s="68"/>
      <c r="G1927" s="68"/>
    </row>
    <row r="1928" spans="1:7" x14ac:dyDescent="0.2">
      <c r="A1928" s="68"/>
      <c r="E1928" s="68"/>
      <c r="G1928" s="68"/>
    </row>
    <row r="1929" spans="1:7" x14ac:dyDescent="0.2">
      <c r="A1929" s="68"/>
      <c r="E1929" s="68"/>
      <c r="G1929" s="68"/>
    </row>
    <row r="1930" spans="1:7" x14ac:dyDescent="0.2">
      <c r="A1930" s="68"/>
      <c r="E1930" s="68"/>
      <c r="G1930" s="68"/>
    </row>
    <row r="1931" spans="1:7" x14ac:dyDescent="0.2">
      <c r="A1931" s="68"/>
      <c r="E1931" s="68"/>
      <c r="G1931" s="68"/>
    </row>
    <row r="1932" spans="1:7" x14ac:dyDescent="0.2">
      <c r="A1932" s="68"/>
      <c r="E1932" s="68"/>
      <c r="G1932" s="68"/>
    </row>
    <row r="1933" spans="1:7" x14ac:dyDescent="0.2">
      <c r="A1933" s="68"/>
      <c r="E1933" s="68"/>
      <c r="G1933" s="68"/>
    </row>
    <row r="1934" spans="1:7" x14ac:dyDescent="0.2">
      <c r="A1934" s="68"/>
      <c r="E1934" s="68"/>
      <c r="G1934" s="68"/>
    </row>
    <row r="1935" spans="1:7" x14ac:dyDescent="0.2">
      <c r="A1935" s="68"/>
      <c r="E1935" s="68"/>
      <c r="G1935" s="68"/>
    </row>
    <row r="1936" spans="1:7" x14ac:dyDescent="0.2">
      <c r="A1936" s="68"/>
      <c r="E1936" s="68"/>
      <c r="G1936" s="68"/>
    </row>
    <row r="1937" spans="1:7" x14ac:dyDescent="0.2">
      <c r="A1937" s="68"/>
      <c r="E1937" s="68"/>
      <c r="G1937" s="68"/>
    </row>
    <row r="1938" spans="1:7" x14ac:dyDescent="0.2">
      <c r="A1938" s="68"/>
      <c r="E1938" s="68"/>
      <c r="G1938" s="68"/>
    </row>
    <row r="1939" spans="1:7" x14ac:dyDescent="0.2">
      <c r="A1939" s="68"/>
      <c r="E1939" s="68"/>
      <c r="G1939" s="68"/>
    </row>
    <row r="1940" spans="1:7" x14ac:dyDescent="0.2">
      <c r="A1940" s="68"/>
      <c r="E1940" s="68"/>
      <c r="G1940" s="68"/>
    </row>
    <row r="1941" spans="1:7" x14ac:dyDescent="0.2">
      <c r="A1941" s="68"/>
      <c r="E1941" s="68"/>
      <c r="G1941" s="68"/>
    </row>
    <row r="1942" spans="1:7" x14ac:dyDescent="0.2">
      <c r="A1942" s="68"/>
      <c r="E1942" s="68"/>
      <c r="G1942" s="68"/>
    </row>
    <row r="1943" spans="1:7" x14ac:dyDescent="0.2">
      <c r="A1943" s="68"/>
      <c r="E1943" s="68"/>
      <c r="G1943" s="68"/>
    </row>
    <row r="1944" spans="1:7" x14ac:dyDescent="0.2">
      <c r="A1944" s="68"/>
      <c r="E1944" s="68"/>
      <c r="G1944" s="68"/>
    </row>
    <row r="1945" spans="1:7" x14ac:dyDescent="0.2">
      <c r="A1945" s="68"/>
      <c r="E1945" s="68"/>
      <c r="G1945" s="68"/>
    </row>
    <row r="1946" spans="1:7" x14ac:dyDescent="0.2">
      <c r="A1946" s="68"/>
      <c r="E1946" s="68"/>
      <c r="G1946" s="68"/>
    </row>
    <row r="1947" spans="1:7" x14ac:dyDescent="0.2">
      <c r="A1947" s="68"/>
      <c r="E1947" s="68"/>
      <c r="G1947" s="68"/>
    </row>
    <row r="1948" spans="1:7" x14ac:dyDescent="0.2">
      <c r="A1948" s="68"/>
      <c r="E1948" s="68"/>
      <c r="G1948" s="68"/>
    </row>
    <row r="1949" spans="1:7" x14ac:dyDescent="0.2">
      <c r="A1949" s="68"/>
      <c r="E1949" s="68"/>
      <c r="G1949" s="68"/>
    </row>
    <row r="1950" spans="1:7" x14ac:dyDescent="0.2">
      <c r="A1950" s="68"/>
      <c r="E1950" s="68"/>
      <c r="G1950" s="68"/>
    </row>
    <row r="1951" spans="1:7" x14ac:dyDescent="0.2">
      <c r="A1951" s="68"/>
      <c r="E1951" s="68"/>
      <c r="G1951" s="68"/>
    </row>
    <row r="1952" spans="1:7" x14ac:dyDescent="0.2">
      <c r="A1952" s="68"/>
      <c r="E1952" s="68"/>
      <c r="G1952" s="68"/>
    </row>
    <row r="1953" spans="1:7" x14ac:dyDescent="0.2">
      <c r="A1953" s="68"/>
      <c r="E1953" s="68"/>
      <c r="G1953" s="68"/>
    </row>
    <row r="1954" spans="1:7" x14ac:dyDescent="0.2">
      <c r="A1954" s="68"/>
      <c r="E1954" s="68"/>
      <c r="G1954" s="68"/>
    </row>
    <row r="1955" spans="1:7" x14ac:dyDescent="0.2">
      <c r="A1955" s="68"/>
      <c r="E1955" s="68"/>
      <c r="G1955" s="68"/>
    </row>
    <row r="1956" spans="1:7" x14ac:dyDescent="0.2">
      <c r="A1956" s="68"/>
      <c r="E1956" s="68"/>
      <c r="G1956" s="68"/>
    </row>
    <row r="1957" spans="1:7" x14ac:dyDescent="0.2">
      <c r="A1957" s="68"/>
      <c r="E1957" s="68"/>
      <c r="G1957" s="68"/>
    </row>
    <row r="1958" spans="1:7" x14ac:dyDescent="0.2">
      <c r="A1958" s="68"/>
      <c r="E1958" s="68"/>
      <c r="G1958" s="68"/>
    </row>
    <row r="1959" spans="1:7" x14ac:dyDescent="0.2">
      <c r="A1959" s="68"/>
      <c r="E1959" s="68"/>
      <c r="G1959" s="68"/>
    </row>
    <row r="1960" spans="1:7" x14ac:dyDescent="0.2">
      <c r="A1960" s="68"/>
      <c r="E1960" s="68"/>
      <c r="G1960" s="68"/>
    </row>
    <row r="1961" spans="1:7" x14ac:dyDescent="0.2">
      <c r="A1961" s="68"/>
      <c r="E1961" s="68"/>
      <c r="G1961" s="68"/>
    </row>
    <row r="1962" spans="1:7" x14ac:dyDescent="0.2">
      <c r="A1962" s="68"/>
      <c r="E1962" s="68"/>
      <c r="G1962" s="68"/>
    </row>
    <row r="1963" spans="1:7" x14ac:dyDescent="0.2">
      <c r="A1963" s="68"/>
      <c r="E1963" s="68"/>
      <c r="G1963" s="68"/>
    </row>
    <row r="1964" spans="1:7" x14ac:dyDescent="0.2">
      <c r="A1964" s="68"/>
      <c r="E1964" s="68"/>
      <c r="G1964" s="68"/>
    </row>
    <row r="1965" spans="1:7" x14ac:dyDescent="0.2">
      <c r="A1965" s="68"/>
      <c r="E1965" s="68"/>
      <c r="G1965" s="68"/>
    </row>
    <row r="1966" spans="1:7" x14ac:dyDescent="0.2">
      <c r="A1966" s="68"/>
      <c r="E1966" s="68"/>
      <c r="G1966" s="68"/>
    </row>
    <row r="1967" spans="1:7" x14ac:dyDescent="0.2">
      <c r="A1967" s="68"/>
      <c r="E1967" s="68"/>
      <c r="G1967" s="68"/>
    </row>
    <row r="1968" spans="1:7" x14ac:dyDescent="0.2">
      <c r="A1968" s="68"/>
      <c r="E1968" s="68"/>
      <c r="G1968" s="68"/>
    </row>
    <row r="1969" spans="1:7" x14ac:dyDescent="0.2">
      <c r="A1969" s="68"/>
      <c r="E1969" s="68"/>
      <c r="G1969" s="68"/>
    </row>
    <row r="1970" spans="1:7" x14ac:dyDescent="0.2">
      <c r="A1970" s="68"/>
      <c r="E1970" s="68"/>
      <c r="G1970" s="68"/>
    </row>
    <row r="1971" spans="1:7" x14ac:dyDescent="0.2">
      <c r="A1971" s="68"/>
      <c r="E1971" s="68"/>
      <c r="G1971" s="68"/>
    </row>
    <row r="1972" spans="1:7" x14ac:dyDescent="0.2">
      <c r="A1972" s="68"/>
      <c r="E1972" s="68"/>
      <c r="G1972" s="68"/>
    </row>
    <row r="1973" spans="1:7" x14ac:dyDescent="0.2">
      <c r="A1973" s="68"/>
      <c r="E1973" s="68"/>
      <c r="G1973" s="68"/>
    </row>
    <row r="1974" spans="1:7" x14ac:dyDescent="0.2">
      <c r="A1974" s="68"/>
      <c r="E1974" s="68"/>
      <c r="G1974" s="68"/>
    </row>
    <row r="1975" spans="1:7" x14ac:dyDescent="0.2">
      <c r="A1975" s="68"/>
      <c r="E1975" s="68"/>
      <c r="G1975" s="68"/>
    </row>
    <row r="1976" spans="1:7" x14ac:dyDescent="0.2">
      <c r="A1976" s="68"/>
      <c r="E1976" s="68"/>
      <c r="G1976" s="68"/>
    </row>
    <row r="1977" spans="1:7" x14ac:dyDescent="0.2">
      <c r="A1977" s="68"/>
      <c r="E1977" s="68"/>
      <c r="G1977" s="68"/>
    </row>
    <row r="1978" spans="1:7" x14ac:dyDescent="0.2">
      <c r="A1978" s="68"/>
      <c r="E1978" s="68"/>
      <c r="G1978" s="68"/>
    </row>
    <row r="1979" spans="1:7" x14ac:dyDescent="0.2">
      <c r="A1979" s="68"/>
      <c r="E1979" s="68"/>
      <c r="G1979" s="68"/>
    </row>
    <row r="1980" spans="1:7" x14ac:dyDescent="0.2">
      <c r="A1980" s="68"/>
      <c r="E1980" s="68"/>
      <c r="G1980" s="68"/>
    </row>
    <row r="1981" spans="1:7" x14ac:dyDescent="0.2">
      <c r="A1981" s="68"/>
      <c r="E1981" s="68"/>
      <c r="G1981" s="68"/>
    </row>
    <row r="1982" spans="1:7" x14ac:dyDescent="0.2">
      <c r="A1982" s="68"/>
      <c r="E1982" s="68"/>
      <c r="G1982" s="68"/>
    </row>
    <row r="1983" spans="1:7" x14ac:dyDescent="0.2">
      <c r="A1983" s="68"/>
      <c r="E1983" s="68"/>
      <c r="G1983" s="68"/>
    </row>
    <row r="1984" spans="1:7" x14ac:dyDescent="0.2">
      <c r="A1984" s="68"/>
      <c r="E1984" s="68"/>
      <c r="G1984" s="68"/>
    </row>
    <row r="1985" spans="1:7" x14ac:dyDescent="0.2">
      <c r="A1985" s="68"/>
      <c r="E1985" s="68"/>
      <c r="G1985" s="68"/>
    </row>
    <row r="1986" spans="1:7" x14ac:dyDescent="0.2">
      <c r="A1986" s="68"/>
      <c r="E1986" s="68"/>
      <c r="G1986" s="68"/>
    </row>
    <row r="1987" spans="1:7" x14ac:dyDescent="0.2">
      <c r="A1987" s="68"/>
      <c r="E1987" s="68"/>
      <c r="G1987" s="68"/>
    </row>
    <row r="1988" spans="1:7" x14ac:dyDescent="0.2">
      <c r="A1988" s="68"/>
      <c r="E1988" s="68"/>
      <c r="G1988" s="68"/>
    </row>
    <row r="1989" spans="1:7" x14ac:dyDescent="0.2">
      <c r="A1989" s="68"/>
      <c r="E1989" s="68"/>
      <c r="G1989" s="68"/>
    </row>
    <row r="1990" spans="1:7" x14ac:dyDescent="0.2">
      <c r="A1990" s="68"/>
      <c r="E1990" s="68"/>
      <c r="G1990" s="68"/>
    </row>
    <row r="1991" spans="1:7" x14ac:dyDescent="0.2">
      <c r="A1991" s="68"/>
      <c r="E1991" s="68"/>
      <c r="G1991" s="68"/>
    </row>
    <row r="1992" spans="1:7" x14ac:dyDescent="0.2">
      <c r="A1992" s="68"/>
      <c r="E1992" s="68"/>
      <c r="G1992" s="68"/>
    </row>
    <row r="1993" spans="1:7" x14ac:dyDescent="0.2">
      <c r="A1993" s="68"/>
      <c r="E1993" s="68"/>
      <c r="G1993" s="68"/>
    </row>
    <row r="1994" spans="1:7" x14ac:dyDescent="0.2">
      <c r="A1994" s="68"/>
      <c r="E1994" s="68"/>
      <c r="G1994" s="68"/>
    </row>
    <row r="1995" spans="1:7" x14ac:dyDescent="0.2">
      <c r="A1995" s="68"/>
      <c r="E1995" s="68"/>
      <c r="G1995" s="68"/>
    </row>
    <row r="1996" spans="1:7" x14ac:dyDescent="0.2">
      <c r="A1996" s="68"/>
      <c r="E1996" s="68"/>
      <c r="G1996" s="68"/>
    </row>
    <row r="1997" spans="1:7" x14ac:dyDescent="0.2">
      <c r="A1997" s="68"/>
      <c r="E1997" s="68"/>
      <c r="G1997" s="68"/>
    </row>
    <row r="1998" spans="1:7" x14ac:dyDescent="0.2">
      <c r="A1998" s="68"/>
      <c r="E1998" s="68"/>
      <c r="G1998" s="68"/>
    </row>
    <row r="1999" spans="1:7" x14ac:dyDescent="0.2">
      <c r="A1999" s="68"/>
      <c r="E1999" s="68"/>
      <c r="G1999" s="68"/>
    </row>
    <row r="2000" spans="1:7" x14ac:dyDescent="0.2">
      <c r="A2000" s="68"/>
      <c r="E2000" s="68"/>
      <c r="G2000" s="68"/>
    </row>
    <row r="2001" spans="1:7" x14ac:dyDescent="0.2">
      <c r="A2001" s="68"/>
      <c r="E2001" s="68"/>
      <c r="G2001" s="68"/>
    </row>
    <row r="2002" spans="1:7" x14ac:dyDescent="0.2">
      <c r="A2002" s="68"/>
      <c r="E2002" s="68"/>
      <c r="G2002" s="68"/>
    </row>
    <row r="2003" spans="1:7" x14ac:dyDescent="0.2">
      <c r="A2003" s="68"/>
      <c r="E2003" s="68"/>
      <c r="G2003" s="68"/>
    </row>
    <row r="2004" spans="1:7" x14ac:dyDescent="0.2">
      <c r="A2004" s="68"/>
      <c r="E2004" s="68"/>
      <c r="G2004" s="68"/>
    </row>
    <row r="2005" spans="1:7" x14ac:dyDescent="0.2">
      <c r="A2005" s="68"/>
      <c r="E2005" s="68"/>
      <c r="G2005" s="68"/>
    </row>
    <row r="2006" spans="1:7" x14ac:dyDescent="0.2">
      <c r="A2006" s="68"/>
      <c r="E2006" s="68"/>
      <c r="G2006" s="68"/>
    </row>
    <row r="2007" spans="1:7" x14ac:dyDescent="0.2">
      <c r="A2007" s="68"/>
      <c r="E2007" s="68"/>
      <c r="G2007" s="68"/>
    </row>
    <row r="2008" spans="1:7" x14ac:dyDescent="0.2">
      <c r="A2008" s="68"/>
      <c r="E2008" s="68"/>
      <c r="G2008" s="68"/>
    </row>
    <row r="2009" spans="1:7" x14ac:dyDescent="0.2">
      <c r="A2009" s="68"/>
      <c r="E2009" s="68"/>
      <c r="G2009" s="68"/>
    </row>
    <row r="2010" spans="1:7" x14ac:dyDescent="0.2">
      <c r="A2010" s="68"/>
      <c r="E2010" s="68"/>
      <c r="G2010" s="68"/>
    </row>
    <row r="2011" spans="1:7" x14ac:dyDescent="0.2">
      <c r="A2011" s="68"/>
      <c r="E2011" s="68"/>
      <c r="G2011" s="68"/>
    </row>
    <row r="2012" spans="1:7" x14ac:dyDescent="0.2">
      <c r="A2012" s="68"/>
      <c r="E2012" s="68"/>
      <c r="G2012" s="68"/>
    </row>
    <row r="2013" spans="1:7" x14ac:dyDescent="0.2">
      <c r="A2013" s="68"/>
      <c r="E2013" s="68"/>
      <c r="G2013" s="68"/>
    </row>
    <row r="2014" spans="1:7" x14ac:dyDescent="0.2">
      <c r="A2014" s="68"/>
      <c r="E2014" s="68"/>
      <c r="G2014" s="68"/>
    </row>
    <row r="2015" spans="1:7" x14ac:dyDescent="0.2">
      <c r="A2015" s="68"/>
      <c r="E2015" s="68"/>
      <c r="G2015" s="68"/>
    </row>
    <row r="2016" spans="1:7" x14ac:dyDescent="0.2">
      <c r="A2016" s="68"/>
      <c r="E2016" s="68"/>
      <c r="G2016" s="68"/>
    </row>
    <row r="2017" spans="1:7" x14ac:dyDescent="0.2">
      <c r="A2017" s="68"/>
      <c r="E2017" s="68"/>
      <c r="G2017" s="68"/>
    </row>
    <row r="2018" spans="1:7" x14ac:dyDescent="0.2">
      <c r="A2018" s="68"/>
      <c r="E2018" s="68"/>
      <c r="G2018" s="68"/>
    </row>
    <row r="2019" spans="1:7" x14ac:dyDescent="0.2">
      <c r="A2019" s="68"/>
      <c r="E2019" s="68"/>
      <c r="G2019" s="68"/>
    </row>
    <row r="2020" spans="1:7" x14ac:dyDescent="0.2">
      <c r="A2020" s="68"/>
      <c r="E2020" s="68"/>
      <c r="G2020" s="68"/>
    </row>
    <row r="2021" spans="1:7" x14ac:dyDescent="0.2">
      <c r="A2021" s="68"/>
      <c r="E2021" s="68"/>
      <c r="G2021" s="68"/>
    </row>
    <row r="2022" spans="1:7" x14ac:dyDescent="0.2">
      <c r="A2022" s="68"/>
      <c r="E2022" s="68"/>
      <c r="G2022" s="68"/>
    </row>
    <row r="2023" spans="1:7" x14ac:dyDescent="0.2">
      <c r="A2023" s="68"/>
      <c r="E2023" s="68"/>
      <c r="G2023" s="68"/>
    </row>
    <row r="2024" spans="1:7" x14ac:dyDescent="0.2">
      <c r="A2024" s="68"/>
      <c r="E2024" s="68"/>
      <c r="G2024" s="68"/>
    </row>
    <row r="2025" spans="1:7" x14ac:dyDescent="0.2">
      <c r="A2025" s="68"/>
      <c r="E2025" s="68"/>
      <c r="G2025" s="68"/>
    </row>
    <row r="2026" spans="1:7" x14ac:dyDescent="0.2">
      <c r="A2026" s="68"/>
      <c r="E2026" s="68"/>
      <c r="G2026" s="68"/>
    </row>
    <row r="2027" spans="1:7" x14ac:dyDescent="0.2">
      <c r="A2027" s="68"/>
      <c r="E2027" s="68"/>
      <c r="G2027" s="68"/>
    </row>
    <row r="2028" spans="1:7" x14ac:dyDescent="0.2">
      <c r="A2028" s="68"/>
      <c r="E2028" s="68"/>
      <c r="G2028" s="68"/>
    </row>
    <row r="2029" spans="1:7" x14ac:dyDescent="0.2">
      <c r="A2029" s="68"/>
      <c r="E2029" s="68"/>
      <c r="G2029" s="68"/>
    </row>
    <row r="2030" spans="1:7" x14ac:dyDescent="0.2">
      <c r="A2030" s="68"/>
      <c r="E2030" s="68"/>
      <c r="G2030" s="68"/>
    </row>
    <row r="2031" spans="1:7" x14ac:dyDescent="0.2">
      <c r="A2031" s="68"/>
      <c r="E2031" s="68"/>
      <c r="G2031" s="68"/>
    </row>
    <row r="2032" spans="1:7" x14ac:dyDescent="0.2">
      <c r="A2032" s="68"/>
      <c r="E2032" s="68"/>
      <c r="G2032" s="68"/>
    </row>
    <row r="2033" spans="1:7" x14ac:dyDescent="0.2">
      <c r="A2033" s="68"/>
      <c r="E2033" s="68"/>
      <c r="G2033" s="68"/>
    </row>
    <row r="2034" spans="1:7" x14ac:dyDescent="0.2">
      <c r="A2034" s="68"/>
      <c r="E2034" s="68"/>
      <c r="G2034" s="68"/>
    </row>
    <row r="2035" spans="1:7" x14ac:dyDescent="0.2">
      <c r="A2035" s="68"/>
      <c r="E2035" s="68"/>
      <c r="G2035" s="68"/>
    </row>
    <row r="2036" spans="1:7" x14ac:dyDescent="0.2">
      <c r="A2036" s="68"/>
      <c r="E2036" s="68"/>
      <c r="G2036" s="68"/>
    </row>
    <row r="2037" spans="1:7" x14ac:dyDescent="0.2">
      <c r="A2037" s="68"/>
      <c r="E2037" s="68"/>
      <c r="G2037" s="68"/>
    </row>
    <row r="2038" spans="1:7" x14ac:dyDescent="0.2">
      <c r="A2038" s="68"/>
      <c r="E2038" s="68"/>
      <c r="G2038" s="68"/>
    </row>
    <row r="2039" spans="1:7" x14ac:dyDescent="0.2">
      <c r="A2039" s="68"/>
      <c r="E2039" s="68"/>
      <c r="G2039" s="68"/>
    </row>
    <row r="2040" spans="1:7" x14ac:dyDescent="0.2">
      <c r="A2040" s="68"/>
      <c r="E2040" s="68"/>
      <c r="G2040" s="68"/>
    </row>
    <row r="2041" spans="1:7" x14ac:dyDescent="0.2">
      <c r="A2041" s="68"/>
      <c r="E2041" s="68"/>
      <c r="G2041" s="68"/>
    </row>
    <row r="2042" spans="1:7" x14ac:dyDescent="0.2">
      <c r="A2042" s="68"/>
      <c r="E2042" s="68"/>
      <c r="G2042" s="68"/>
    </row>
    <row r="2043" spans="1:7" x14ac:dyDescent="0.2">
      <c r="A2043" s="68"/>
      <c r="E2043" s="68"/>
      <c r="G2043" s="68"/>
    </row>
    <row r="2044" spans="1:7" x14ac:dyDescent="0.2">
      <c r="A2044" s="68"/>
      <c r="E2044" s="68"/>
      <c r="G2044" s="68"/>
    </row>
    <row r="2045" spans="1:7" x14ac:dyDescent="0.2">
      <c r="A2045" s="68"/>
      <c r="E2045" s="68"/>
      <c r="G2045" s="68"/>
    </row>
    <row r="2046" spans="1:7" x14ac:dyDescent="0.2">
      <c r="A2046" s="68"/>
      <c r="E2046" s="68"/>
      <c r="G2046" s="68"/>
    </row>
    <row r="2047" spans="1:7" x14ac:dyDescent="0.2">
      <c r="A2047" s="68"/>
      <c r="E2047" s="68"/>
      <c r="G2047" s="68"/>
    </row>
    <row r="2048" spans="1:7" x14ac:dyDescent="0.2">
      <c r="A2048" s="68"/>
      <c r="E2048" s="68"/>
      <c r="G2048" s="68"/>
    </row>
    <row r="2049" spans="1:7" x14ac:dyDescent="0.2">
      <c r="A2049" s="68"/>
      <c r="E2049" s="68"/>
      <c r="G2049" s="68"/>
    </row>
    <row r="2050" spans="1:7" x14ac:dyDescent="0.2">
      <c r="A2050" s="68"/>
      <c r="E2050" s="68"/>
      <c r="G2050" s="68"/>
    </row>
    <row r="2051" spans="1:7" x14ac:dyDescent="0.2">
      <c r="A2051" s="68"/>
      <c r="E2051" s="68"/>
      <c r="G2051" s="68"/>
    </row>
    <row r="2052" spans="1:7" x14ac:dyDescent="0.2">
      <c r="A2052" s="68"/>
      <c r="E2052" s="68"/>
      <c r="G2052" s="68"/>
    </row>
    <row r="2053" spans="1:7" x14ac:dyDescent="0.2">
      <c r="A2053" s="68"/>
      <c r="E2053" s="68"/>
      <c r="G2053" s="68"/>
    </row>
    <row r="2054" spans="1:7" x14ac:dyDescent="0.2">
      <c r="A2054" s="68"/>
      <c r="E2054" s="68"/>
      <c r="G2054" s="68"/>
    </row>
    <row r="2055" spans="1:7" x14ac:dyDescent="0.2">
      <c r="A2055" s="68"/>
      <c r="E2055" s="68"/>
      <c r="G2055" s="68"/>
    </row>
    <row r="2056" spans="1:7" x14ac:dyDescent="0.2">
      <c r="A2056" s="68"/>
      <c r="E2056" s="68"/>
      <c r="G2056" s="68"/>
    </row>
    <row r="2057" spans="1:7" x14ac:dyDescent="0.2">
      <c r="A2057" s="68"/>
      <c r="E2057" s="68"/>
      <c r="G2057" s="68"/>
    </row>
    <row r="2058" spans="1:7" x14ac:dyDescent="0.2">
      <c r="A2058" s="68"/>
      <c r="E2058" s="68"/>
      <c r="G2058" s="68"/>
    </row>
    <row r="2059" spans="1:7" x14ac:dyDescent="0.2">
      <c r="A2059" s="68"/>
      <c r="E2059" s="68"/>
      <c r="G2059" s="68"/>
    </row>
    <row r="2060" spans="1:7" x14ac:dyDescent="0.2">
      <c r="A2060" s="68"/>
      <c r="E2060" s="68"/>
      <c r="G2060" s="68"/>
    </row>
    <row r="2061" spans="1:7" x14ac:dyDescent="0.2">
      <c r="A2061" s="68"/>
      <c r="E2061" s="68"/>
      <c r="G2061" s="68"/>
    </row>
    <row r="2062" spans="1:7" x14ac:dyDescent="0.2">
      <c r="A2062" s="68"/>
      <c r="E2062" s="68"/>
      <c r="G2062" s="68"/>
    </row>
    <row r="2063" spans="1:7" x14ac:dyDescent="0.2">
      <c r="A2063" s="68"/>
      <c r="E2063" s="68"/>
      <c r="G2063" s="68"/>
    </row>
    <row r="2064" spans="1:7" x14ac:dyDescent="0.2">
      <c r="A2064" s="68"/>
      <c r="E2064" s="68"/>
      <c r="G2064" s="68"/>
    </row>
    <row r="2065" spans="1:7" x14ac:dyDescent="0.2">
      <c r="A2065" s="68"/>
      <c r="E2065" s="68"/>
      <c r="G2065" s="68"/>
    </row>
    <row r="2066" spans="1:7" x14ac:dyDescent="0.2">
      <c r="G2066" s="68"/>
    </row>
    <row r="2067" spans="1:7" x14ac:dyDescent="0.2">
      <c r="G2067" s="68"/>
    </row>
    <row r="2068" spans="1:7" x14ac:dyDescent="0.2">
      <c r="G2068" s="68"/>
    </row>
    <row r="2069" spans="1:7" x14ac:dyDescent="0.2">
      <c r="G2069" s="68"/>
    </row>
    <row r="2070" spans="1:7" x14ac:dyDescent="0.2">
      <c r="G2070" s="68"/>
    </row>
    <row r="2071" spans="1:7" x14ac:dyDescent="0.2">
      <c r="G2071" s="68"/>
    </row>
    <row r="2072" spans="1:7" x14ac:dyDescent="0.2">
      <c r="G2072" s="68"/>
    </row>
    <row r="2073" spans="1:7" x14ac:dyDescent="0.2">
      <c r="G2073" s="68"/>
    </row>
    <row r="2074" spans="1:7" x14ac:dyDescent="0.2">
      <c r="G2074" s="68"/>
    </row>
    <row r="2075" spans="1:7" x14ac:dyDescent="0.2">
      <c r="G2075" s="68"/>
    </row>
    <row r="2076" spans="1:7" x14ac:dyDescent="0.2">
      <c r="G2076" s="68"/>
    </row>
    <row r="2077" spans="1:7" x14ac:dyDescent="0.2">
      <c r="G2077" s="68"/>
    </row>
    <row r="2078" spans="1:7" x14ac:dyDescent="0.2">
      <c r="G2078" s="68"/>
    </row>
    <row r="2079" spans="1:7" x14ac:dyDescent="0.2">
      <c r="G2079" s="68"/>
    </row>
    <row r="2080" spans="1:7" x14ac:dyDescent="0.2">
      <c r="G2080" s="68"/>
    </row>
    <row r="2081" spans="1:7" x14ac:dyDescent="0.2">
      <c r="A2081" s="68"/>
      <c r="E2081" s="68"/>
      <c r="G2081" s="68"/>
    </row>
    <row r="2082" spans="1:7" x14ac:dyDescent="0.2">
      <c r="A2082" s="68"/>
      <c r="E2082" s="68"/>
      <c r="G2082" s="68"/>
    </row>
    <row r="2083" spans="1:7" x14ac:dyDescent="0.2">
      <c r="A2083" s="68"/>
      <c r="E2083" s="68"/>
      <c r="G2083" s="68"/>
    </row>
    <row r="2084" spans="1:7" x14ac:dyDescent="0.2">
      <c r="A2084" s="68"/>
      <c r="E2084" s="68"/>
      <c r="G2084" s="68"/>
    </row>
    <row r="2085" spans="1:7" x14ac:dyDescent="0.2">
      <c r="A2085" s="68"/>
      <c r="E2085" s="68"/>
      <c r="G2085" s="68"/>
    </row>
    <row r="2086" spans="1:7" x14ac:dyDescent="0.2">
      <c r="A2086" s="68"/>
      <c r="E2086" s="68"/>
      <c r="G2086" s="68"/>
    </row>
    <row r="2087" spans="1:7" x14ac:dyDescent="0.2">
      <c r="A2087" s="68"/>
      <c r="E2087" s="68"/>
      <c r="G2087" s="68"/>
    </row>
    <row r="2088" spans="1:7" x14ac:dyDescent="0.2">
      <c r="A2088" s="68"/>
      <c r="E2088" s="68"/>
      <c r="G2088" s="68"/>
    </row>
    <row r="2089" spans="1:7" x14ac:dyDescent="0.2">
      <c r="A2089" s="68"/>
      <c r="E2089" s="68"/>
      <c r="G2089" s="68"/>
    </row>
    <row r="2090" spans="1:7" x14ac:dyDescent="0.2">
      <c r="A2090" s="68"/>
      <c r="E2090" s="68"/>
      <c r="G2090" s="68"/>
    </row>
    <row r="2091" spans="1:7" x14ac:dyDescent="0.2">
      <c r="A2091" s="68"/>
      <c r="E2091" s="68"/>
      <c r="G2091" s="68"/>
    </row>
    <row r="2092" spans="1:7" x14ac:dyDescent="0.2">
      <c r="A2092" s="68"/>
      <c r="E2092" s="68"/>
      <c r="G2092" s="68"/>
    </row>
    <row r="2093" spans="1:7" x14ac:dyDescent="0.2">
      <c r="A2093" s="68"/>
      <c r="E2093" s="68"/>
      <c r="G2093" s="68"/>
    </row>
    <row r="2094" spans="1:7" x14ac:dyDescent="0.2">
      <c r="A2094" s="68"/>
      <c r="E2094" s="68"/>
      <c r="G2094" s="68"/>
    </row>
    <row r="2095" spans="1:7" x14ac:dyDescent="0.2">
      <c r="A2095" s="68"/>
      <c r="E2095" s="68"/>
      <c r="G2095" s="68"/>
    </row>
    <row r="2096" spans="1:7" x14ac:dyDescent="0.2">
      <c r="A2096" s="68"/>
      <c r="E2096" s="68"/>
      <c r="G2096" s="68"/>
    </row>
    <row r="2097" spans="1:7" x14ac:dyDescent="0.2">
      <c r="A2097" s="68"/>
      <c r="E2097" s="68"/>
      <c r="G2097" s="68"/>
    </row>
    <row r="2098" spans="1:7" x14ac:dyDescent="0.2">
      <c r="A2098" s="68"/>
      <c r="E2098" s="68"/>
      <c r="G2098" s="68"/>
    </row>
    <row r="2099" spans="1:7" x14ac:dyDescent="0.2">
      <c r="A2099" s="68"/>
      <c r="E2099" s="68"/>
      <c r="G2099" s="68"/>
    </row>
    <row r="2100" spans="1:7" x14ac:dyDescent="0.2">
      <c r="A2100" s="68"/>
      <c r="E2100" s="68"/>
      <c r="G2100" s="68"/>
    </row>
    <row r="2101" spans="1:7" x14ac:dyDescent="0.2">
      <c r="A2101" s="68"/>
      <c r="E2101" s="68"/>
      <c r="G2101" s="68"/>
    </row>
    <row r="2102" spans="1:7" x14ac:dyDescent="0.2">
      <c r="A2102" s="68"/>
      <c r="E2102" s="68"/>
      <c r="G2102" s="68"/>
    </row>
    <row r="2103" spans="1:7" x14ac:dyDescent="0.2">
      <c r="A2103" s="68"/>
      <c r="E2103" s="68"/>
      <c r="G2103" s="68"/>
    </row>
    <row r="2104" spans="1:7" x14ac:dyDescent="0.2">
      <c r="A2104" s="68"/>
      <c r="E2104" s="68"/>
      <c r="G2104" s="68"/>
    </row>
    <row r="2105" spans="1:7" x14ac:dyDescent="0.2">
      <c r="A2105" s="68"/>
      <c r="E2105" s="68"/>
      <c r="G2105" s="68"/>
    </row>
    <row r="2106" spans="1:7" x14ac:dyDescent="0.2">
      <c r="A2106" s="68"/>
      <c r="E2106" s="68"/>
      <c r="G2106" s="68"/>
    </row>
    <row r="2107" spans="1:7" x14ac:dyDescent="0.2">
      <c r="A2107" s="68"/>
      <c r="E2107" s="68"/>
      <c r="G2107" s="68"/>
    </row>
    <row r="2108" spans="1:7" x14ac:dyDescent="0.2">
      <c r="A2108" s="68"/>
      <c r="E2108" s="68"/>
      <c r="G2108" s="68"/>
    </row>
    <row r="2109" spans="1:7" x14ac:dyDescent="0.2">
      <c r="A2109" s="68"/>
      <c r="E2109" s="68"/>
      <c r="G2109" s="68"/>
    </row>
    <row r="2110" spans="1:7" x14ac:dyDescent="0.2">
      <c r="A2110" s="68"/>
      <c r="E2110" s="68"/>
      <c r="G2110" s="68"/>
    </row>
    <row r="2111" spans="1:7" x14ac:dyDescent="0.2">
      <c r="A2111" s="68"/>
      <c r="E2111" s="68"/>
      <c r="G2111" s="68"/>
    </row>
    <row r="2112" spans="1:7" x14ac:dyDescent="0.2">
      <c r="A2112" s="68"/>
      <c r="E2112" s="68"/>
      <c r="G2112" s="68"/>
    </row>
  </sheetData>
  <mergeCells count="14">
    <mergeCell ref="I1:O1"/>
    <mergeCell ref="I2:O2"/>
    <mergeCell ref="I3:O3"/>
    <mergeCell ref="I4:O4"/>
    <mergeCell ref="I7:O7"/>
    <mergeCell ref="F7:G7"/>
    <mergeCell ref="F8:G8"/>
    <mergeCell ref="F9:G9"/>
    <mergeCell ref="F10:G10"/>
    <mergeCell ref="A14:O14"/>
    <mergeCell ref="A13:O13"/>
    <mergeCell ref="I8:O8"/>
    <mergeCell ref="I9:O9"/>
    <mergeCell ref="I10:O10"/>
  </mergeCells>
  <phoneticPr fontId="0" type="noConversion"/>
  <dataValidations disablePrompts="1" count="4">
    <dataValidation type="list" allowBlank="1" showInputMessage="1" showErrorMessage="1" sqref="E118:E682 E18:E114 E686:E1323">
      <formula1>Код_КЦСР</formula1>
    </dataValidation>
    <dataValidation type="list" allowBlank="1" showInputMessage="1" showErrorMessage="1" sqref="B18:B1322">
      <formula1>Код_ППП</formula1>
    </dataValidation>
    <dataValidation type="list" allowBlank="1" showInputMessage="1" showErrorMessage="1" sqref="C18:C1322">
      <formula1>Код_Раздел</formula1>
    </dataValidation>
    <dataValidation type="list" allowBlank="1" showInputMessage="1" showErrorMessage="1" sqref="F18:F1323">
      <formula1>Код_КВР</formula1>
    </dataValidation>
  </dataValidations>
  <pageMargins left="1.3779527559055118" right="0.39370078740157483" top="0.78740157480314965" bottom="0.43307086614173229" header="0.39370078740157483" footer="0.39370078740157483"/>
  <pageSetup paperSize="9" scale="40" fitToHeight="23" orientation="portrait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ППП</vt:lpstr>
      <vt:lpstr>Раздел</vt:lpstr>
      <vt:lpstr>КЦСР</vt:lpstr>
      <vt:lpstr>КВР</vt:lpstr>
      <vt:lpstr>прил. 4</vt:lpstr>
      <vt:lpstr>прил. 6</vt:lpstr>
      <vt:lpstr>прил. 8</vt:lpstr>
      <vt:lpstr>КВР!sub_3870</vt:lpstr>
      <vt:lpstr>'прил. 4'!Заголовки_для_печати</vt:lpstr>
      <vt:lpstr>'прил. 6'!Заголовки_для_печати</vt:lpstr>
      <vt:lpstr>'прил. 8'!Заголовки_для_печати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КЦСР!Область_печати</vt:lpstr>
      <vt:lpstr>'прил. 4'!Область_печати</vt:lpstr>
      <vt:lpstr>'прил. 6'!Область_печати</vt:lpstr>
      <vt:lpstr>'прил. 8'!Область_печати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2018-04-13T05:48:57Z</cp:lastPrinted>
  <dcterms:created xsi:type="dcterms:W3CDTF">2005-10-27T10:10:18Z</dcterms:created>
  <dcterms:modified xsi:type="dcterms:W3CDTF">2018-04-12T13:02:10Z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