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12870"/>
  </bookViews>
  <sheets>
    <sheet name="Протоколы ОСС" sheetId="2" r:id="rId1"/>
  </sheets>
  <definedNames>
    <definedName name="_xlnm._FilterDatabase" localSheetId="0" hidden="1">'Протоколы ОСС'!$B$3:$C$93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G16" i="2"/>
  <c r="F16" i="2"/>
  <c r="H12" i="2"/>
  <c r="G12" i="2"/>
  <c r="F12" i="2"/>
  <c r="B12" i="2"/>
  <c r="H37" i="2"/>
  <c r="G37" i="2"/>
  <c r="F37" i="2"/>
  <c r="B37" i="2"/>
  <c r="I16" i="2" l="1"/>
  <c r="I12" i="2"/>
  <c r="I37" i="2"/>
  <c r="B36" i="2"/>
  <c r="B66" i="2"/>
  <c r="H11" i="2"/>
  <c r="G11" i="2"/>
  <c r="F11" i="2"/>
  <c r="H93" i="2"/>
  <c r="G93" i="2"/>
  <c r="F93" i="2"/>
  <c r="B93" i="2"/>
  <c r="H92" i="2"/>
  <c r="G92" i="2"/>
  <c r="F92" i="2"/>
  <c r="B92" i="2"/>
  <c r="H91" i="2"/>
  <c r="G91" i="2"/>
  <c r="F91" i="2"/>
  <c r="H90" i="2"/>
  <c r="G90" i="2"/>
  <c r="F90" i="2"/>
  <c r="E90" i="2"/>
  <c r="H89" i="2"/>
  <c r="G89" i="2"/>
  <c r="F89" i="2"/>
  <c r="B89" i="2"/>
  <c r="H88" i="2"/>
  <c r="G88" i="2"/>
  <c r="F88" i="2"/>
  <c r="B88" i="2"/>
  <c r="H87" i="2"/>
  <c r="G87" i="2"/>
  <c r="F87" i="2"/>
  <c r="E87" i="2"/>
  <c r="H86" i="2"/>
  <c r="G86" i="2"/>
  <c r="F86" i="2"/>
  <c r="B86" i="2"/>
  <c r="H85" i="2"/>
  <c r="G85" i="2"/>
  <c r="F85" i="2"/>
  <c r="B85" i="2"/>
  <c r="H84" i="2"/>
  <c r="G84" i="2"/>
  <c r="F84" i="2"/>
  <c r="B84" i="2"/>
  <c r="H78" i="2"/>
  <c r="G78" i="2"/>
  <c r="F78" i="2"/>
  <c r="H77" i="2"/>
  <c r="G77" i="2"/>
  <c r="F77" i="2"/>
  <c r="E77" i="2"/>
  <c r="H76" i="2"/>
  <c r="G76" i="2"/>
  <c r="F76" i="2"/>
  <c r="B76" i="2"/>
  <c r="H75" i="2"/>
  <c r="G75" i="2"/>
  <c r="F75" i="2"/>
  <c r="H74" i="2"/>
  <c r="G74" i="2"/>
  <c r="F74" i="2"/>
  <c r="B74" i="2"/>
  <c r="H73" i="2"/>
  <c r="G73" i="2"/>
  <c r="F73" i="2"/>
  <c r="H72" i="2"/>
  <c r="G72" i="2"/>
  <c r="F72" i="2"/>
  <c r="E72" i="2"/>
  <c r="H71" i="2"/>
  <c r="G71" i="2"/>
  <c r="F71" i="2"/>
  <c r="B71" i="2"/>
  <c r="H70" i="2"/>
  <c r="G70" i="2"/>
  <c r="F70" i="2"/>
  <c r="H69" i="2"/>
  <c r="G69" i="2"/>
  <c r="F69" i="2"/>
  <c r="E69" i="2"/>
  <c r="H68" i="2"/>
  <c r="G68" i="2"/>
  <c r="F68" i="2"/>
  <c r="H67" i="2"/>
  <c r="G67" i="2"/>
  <c r="F67" i="2"/>
  <c r="E67" i="2"/>
  <c r="B67" i="2"/>
  <c r="H65" i="2"/>
  <c r="G65" i="2"/>
  <c r="F65" i="2"/>
  <c r="E65" i="2"/>
  <c r="B65" i="2"/>
  <c r="H64" i="2"/>
  <c r="G64" i="2"/>
  <c r="F64" i="2"/>
  <c r="H63" i="2"/>
  <c r="G63" i="2"/>
  <c r="F63" i="2"/>
  <c r="E63" i="2"/>
  <c r="H62" i="2"/>
  <c r="G62" i="2"/>
  <c r="F62" i="2"/>
  <c r="H61" i="2"/>
  <c r="G61" i="2"/>
  <c r="F61" i="2"/>
  <c r="H60" i="2"/>
  <c r="G60" i="2"/>
  <c r="F60" i="2"/>
  <c r="B60" i="2"/>
  <c r="H59" i="2"/>
  <c r="G59" i="2"/>
  <c r="F59" i="2"/>
  <c r="H58" i="2"/>
  <c r="G58" i="2"/>
  <c r="F58" i="2"/>
  <c r="E58" i="2"/>
  <c r="H57" i="2"/>
  <c r="G57" i="2"/>
  <c r="F57" i="2"/>
  <c r="H56" i="2"/>
  <c r="G56" i="2"/>
  <c r="F56" i="2"/>
  <c r="B56" i="2"/>
  <c r="H55" i="2"/>
  <c r="G55" i="2"/>
  <c r="F55" i="2"/>
  <c r="B55" i="2"/>
  <c r="H54" i="2"/>
  <c r="G54" i="2"/>
  <c r="F54" i="2"/>
  <c r="B54" i="2"/>
  <c r="H52" i="2"/>
  <c r="G52" i="2"/>
  <c r="F52" i="2"/>
  <c r="E52" i="2"/>
  <c r="H51" i="2"/>
  <c r="G51" i="2"/>
  <c r="F51" i="2"/>
  <c r="H50" i="2"/>
  <c r="G50" i="2"/>
  <c r="F50" i="2"/>
  <c r="H49" i="2"/>
  <c r="G49" i="2"/>
  <c r="F49" i="2"/>
  <c r="H48" i="2"/>
  <c r="G48" i="2"/>
  <c r="F48" i="2"/>
  <c r="E48" i="2"/>
  <c r="H47" i="2"/>
  <c r="G47" i="2"/>
  <c r="F47" i="2"/>
  <c r="H46" i="2"/>
  <c r="G46" i="2"/>
  <c r="F46" i="2"/>
  <c r="E46" i="2"/>
  <c r="B46" i="2"/>
  <c r="H45" i="2"/>
  <c r="G45" i="2"/>
  <c r="F45" i="2"/>
  <c r="B45" i="2"/>
  <c r="H44" i="2"/>
  <c r="G44" i="2"/>
  <c r="F44" i="2"/>
  <c r="H43" i="2"/>
  <c r="G43" i="2"/>
  <c r="F43" i="2"/>
  <c r="E43" i="2"/>
  <c r="H42" i="2"/>
  <c r="G42" i="2"/>
  <c r="F42" i="2"/>
  <c r="H41" i="2"/>
  <c r="G41" i="2"/>
  <c r="F41" i="2"/>
  <c r="E41" i="2"/>
  <c r="B41" i="2"/>
  <c r="H39" i="2"/>
  <c r="G39" i="2"/>
  <c r="F39" i="2"/>
  <c r="B39" i="2"/>
  <c r="H38" i="2"/>
  <c r="G38" i="2"/>
  <c r="F38" i="2"/>
  <c r="B38" i="2"/>
  <c r="H83" i="2"/>
  <c r="G83" i="2"/>
  <c r="F83" i="2"/>
  <c r="H82" i="2"/>
  <c r="G82" i="2"/>
  <c r="F82" i="2"/>
  <c r="E82" i="2"/>
  <c r="H81" i="2"/>
  <c r="G81" i="2"/>
  <c r="F81" i="2"/>
  <c r="B81" i="2"/>
  <c r="H79" i="2"/>
  <c r="G79" i="2"/>
  <c r="F79" i="2"/>
  <c r="B79" i="2"/>
  <c r="H34" i="2"/>
  <c r="G34" i="2"/>
  <c r="F34" i="2"/>
  <c r="B34" i="2"/>
  <c r="H33" i="2"/>
  <c r="G33" i="2"/>
  <c r="F33" i="2"/>
  <c r="H32" i="2"/>
  <c r="G32" i="2"/>
  <c r="F32" i="2"/>
  <c r="H31" i="2"/>
  <c r="G31" i="2"/>
  <c r="F31" i="2"/>
  <c r="E31" i="2"/>
  <c r="B31" i="2"/>
  <c r="H30" i="2"/>
  <c r="G30" i="2"/>
  <c r="F30" i="2"/>
  <c r="H29" i="2"/>
  <c r="G29" i="2"/>
  <c r="F29" i="2"/>
  <c r="H28" i="2"/>
  <c r="G28" i="2"/>
  <c r="F28" i="2"/>
  <c r="E28" i="2"/>
  <c r="B28" i="2"/>
  <c r="H27" i="2"/>
  <c r="G27" i="2"/>
  <c r="F27" i="2"/>
  <c r="B27" i="2"/>
  <c r="H24" i="2"/>
  <c r="G24" i="2"/>
  <c r="F24" i="2"/>
  <c r="H23" i="2"/>
  <c r="G23" i="2"/>
  <c r="F23" i="2"/>
  <c r="E23" i="2"/>
  <c r="H22" i="2"/>
  <c r="G22" i="2"/>
  <c r="F22" i="2"/>
  <c r="B22" i="2"/>
  <c r="H80" i="2"/>
  <c r="G80" i="2"/>
  <c r="F80" i="2"/>
  <c r="H9" i="2"/>
  <c r="G9" i="2"/>
  <c r="F9" i="2"/>
  <c r="H21" i="2"/>
  <c r="G21" i="2"/>
  <c r="F21" i="2"/>
  <c r="H20" i="2"/>
  <c r="G20" i="2"/>
  <c r="F20" i="2"/>
  <c r="E20" i="2"/>
  <c r="H19" i="2"/>
  <c r="G19" i="2"/>
  <c r="F19" i="2"/>
  <c r="H18" i="2"/>
  <c r="G18" i="2"/>
  <c r="F18" i="2"/>
  <c r="H17" i="2"/>
  <c r="G17" i="2"/>
  <c r="F17" i="2"/>
  <c r="B17" i="2"/>
  <c r="H15" i="2"/>
  <c r="G15" i="2"/>
  <c r="F15" i="2"/>
  <c r="B15" i="2"/>
  <c r="H14" i="2"/>
  <c r="G14" i="2"/>
  <c r="F14" i="2"/>
  <c r="H13" i="2"/>
  <c r="G13" i="2"/>
  <c r="F13" i="2"/>
  <c r="H8" i="2"/>
  <c r="G8" i="2"/>
  <c r="F8" i="2"/>
  <c r="B8" i="2"/>
  <c r="H7" i="2"/>
  <c r="G7" i="2"/>
  <c r="F7" i="2"/>
  <c r="H6" i="2"/>
  <c r="G6" i="2"/>
  <c r="F6" i="2"/>
  <c r="H5" i="2"/>
  <c r="G5" i="2"/>
  <c r="F5" i="2"/>
  <c r="E5" i="2"/>
  <c r="I79" i="2" l="1"/>
  <c r="I81" i="2"/>
  <c r="I82" i="2"/>
  <c r="I49" i="2"/>
  <c r="I50" i="2"/>
  <c r="I52" i="2"/>
  <c r="I60" i="2"/>
  <c r="I61" i="2"/>
  <c r="I63" i="2"/>
  <c r="I71" i="2"/>
  <c r="I72" i="2"/>
  <c r="I13" i="2"/>
  <c r="I17" i="2"/>
  <c r="I18" i="2"/>
  <c r="I80" i="2"/>
  <c r="I22" i="2"/>
  <c r="I6" i="2"/>
  <c r="I14" i="2"/>
  <c r="I20" i="2"/>
  <c r="I28" i="2"/>
  <c r="I30" i="2"/>
  <c r="I33" i="2"/>
  <c r="I34" i="2"/>
  <c r="I39" i="2"/>
  <c r="I43" i="2"/>
  <c r="I69" i="2"/>
  <c r="I75" i="2"/>
  <c r="I77" i="2"/>
  <c r="I78" i="2"/>
  <c r="I91" i="2"/>
  <c r="I7" i="2"/>
  <c r="I8" i="2"/>
  <c r="I15" i="2"/>
  <c r="I19" i="2"/>
  <c r="I21" i="2"/>
  <c r="I9" i="2"/>
  <c r="I23" i="2"/>
  <c r="I24" i="2"/>
  <c r="I27" i="2"/>
  <c r="I29" i="2"/>
  <c r="I32" i="2"/>
  <c r="I83" i="2"/>
  <c r="I38" i="2"/>
  <c r="I45" i="2"/>
  <c r="I55" i="2"/>
  <c r="I84" i="2"/>
  <c r="I92" i="2"/>
  <c r="I11" i="2"/>
  <c r="I42" i="2"/>
  <c r="I44" i="2"/>
  <c r="I46" i="2"/>
  <c r="I48" i="2"/>
  <c r="I51" i="2"/>
  <c r="I54" i="2"/>
  <c r="I57" i="2"/>
  <c r="I58" i="2"/>
  <c r="I59" i="2"/>
  <c r="I62" i="2"/>
  <c r="I64" i="2"/>
  <c r="I68" i="2"/>
  <c r="I70" i="2"/>
  <c r="I73" i="2"/>
  <c r="I74" i="2"/>
  <c r="I85" i="2"/>
  <c r="I86" i="2"/>
  <c r="I87" i="2"/>
  <c r="I89" i="2"/>
  <c r="I90" i="2"/>
  <c r="I5" i="2"/>
  <c r="I31" i="2"/>
  <c r="I41" i="2"/>
  <c r="I56" i="2"/>
  <c r="I93" i="2"/>
  <c r="I65" i="2"/>
  <c r="I76" i="2"/>
  <c r="I88" i="2"/>
  <c r="I47" i="2"/>
  <c r="I67" i="2"/>
</calcChain>
</file>

<file path=xl/sharedStrings.xml><?xml version="1.0" encoding="utf-8"?>
<sst xmlns="http://schemas.openxmlformats.org/spreadsheetml/2006/main" count="107" uniqueCount="33">
  <si>
    <t>г. Череповец, пл. Металлургов, д. 2</t>
  </si>
  <si>
    <t>г. Череповец, пр-кт. Победы, д. 190*</t>
  </si>
  <si>
    <t>Адрес</t>
  </si>
  <si>
    <t>Вид ремонта</t>
  </si>
  <si>
    <t>Крыша</t>
  </si>
  <si>
    <t>Фасад</t>
  </si>
  <si>
    <t>Система ХВС</t>
  </si>
  <si>
    <t>Система ГВС</t>
  </si>
  <si>
    <t>Система водоотведения</t>
  </si>
  <si>
    <t>Система теплоснабжения</t>
  </si>
  <si>
    <t>Система электроснабжения</t>
  </si>
  <si>
    <t>Система газоснабжения</t>
  </si>
  <si>
    <t>Узел управления системы теплоснабжения</t>
  </si>
  <si>
    <t>Узел управления системы ГВС</t>
  </si>
  <si>
    <t>Лифтовое оборудование</t>
  </si>
  <si>
    <t>г. Череповец</t>
  </si>
  <si>
    <t>г. Череповец, пр-кт. Победы, д. 139</t>
  </si>
  <si>
    <t>г. Череповец, пр-кт. Советский, д. 98</t>
  </si>
  <si>
    <t>г. Череповец, ул. Металлургов, д. 2</t>
  </si>
  <si>
    <t>Стоимость СМР, с учетом НДС</t>
  </si>
  <si>
    <t>Проектные работы</t>
  </si>
  <si>
    <t>Экспертиза                         1%</t>
  </si>
  <si>
    <t>Строительный контроль 2,14%</t>
  </si>
  <si>
    <t>Непредвиденные 15%</t>
  </si>
  <si>
    <t>Итого</t>
  </si>
  <si>
    <t>Прибор учета тепловой энергии</t>
  </si>
  <si>
    <t xml:space="preserve">г. Череповец, пр. Победы, 144 </t>
  </si>
  <si>
    <t xml:space="preserve">Система теплоснабжения           </t>
  </si>
  <si>
    <t xml:space="preserve">Система теплоснабжения          </t>
  </si>
  <si>
    <t>г. Череповец, пр-т. Шекснинский, д. 21</t>
  </si>
  <si>
    <t>№ п/п</t>
  </si>
  <si>
    <t xml:space="preserve">Система теплоснабжения с 2016         </t>
  </si>
  <si>
    <t>Перечень МКД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</si>
</sst>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/>
    <xf numFmtId="4" fontId="5" fillId="0" borderId="1" xfId="7" applyNumberFormat="1" applyFont="1" applyFill="1" applyBorder="1" applyAlignment="1">
      <alignment horizontal="center" vertical="center"/>
    </xf>
    <xf numFmtId="4" fontId="8" fillId="0" borderId="1" xfId="5" applyNumberFormat="1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>
      <alignment horizontal="center" vertical="center"/>
    </xf>
    <xf numFmtId="4" fontId="8" fillId="0" borderId="1" xfId="5" applyNumberFormat="1" applyFont="1" applyFill="1" applyBorder="1" applyAlignment="1">
      <alignment horizontal="center"/>
    </xf>
    <xf numFmtId="4" fontId="5" fillId="0" borderId="1" xfId="8" applyNumberFormat="1" applyFont="1" applyFill="1" applyBorder="1" applyAlignment="1">
      <alignment horizontal="center" vertical="center"/>
    </xf>
    <xf numFmtId="43" fontId="8" fillId="0" borderId="1" xfId="11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2">
    <cellStyle name="Excel Built-in Normal" xfId="2"/>
    <cellStyle name="Обычный" xfId="0" builtinId="0"/>
    <cellStyle name="Обычный 2" xfId="3"/>
    <cellStyle name="Обычный 2 2" xfId="9"/>
    <cellStyle name="Обычный 3" xfId="4"/>
    <cellStyle name="Обычный 4" xfId="1"/>
    <cellStyle name="Обычный 5" xfId="6"/>
    <cellStyle name="Обычный 6" xfId="8"/>
    <cellStyle name="Финансовый" xfId="11" builtinId="3"/>
    <cellStyle name="Финансовый 2" xfId="5"/>
    <cellStyle name="Финансовый 3" xfId="7"/>
    <cellStyle name="Финансовый 4" xfId="10"/>
  </cellStyles>
  <dxfs count="0"/>
  <tableStyles count="0" defaultTableStyle="TableStyleMedium2" defaultPivotStyle="PivotStyleLight16"/>
  <colors>
    <mruColors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view="pageBreakPreview" zoomScaleNormal="75" zoomScaleSheetLayoutView="100" workbookViewId="0">
      <pane ySplit="3" topLeftCell="A4" activePane="bottomLeft" state="frozen"/>
      <selection pane="bottomLeft" activeCell="J10" sqref="J10"/>
    </sheetView>
  </sheetViews>
  <sheetFormatPr defaultRowHeight="15.75" x14ac:dyDescent="0.25"/>
  <cols>
    <col min="1" max="1" width="9.140625" style="39"/>
    <col min="2" max="2" width="42.28515625" style="24" customWidth="1"/>
    <col min="3" max="3" width="43" style="24" customWidth="1"/>
    <col min="4" max="4" width="18" style="28" hidden="1" customWidth="1"/>
    <col min="5" max="5" width="15.140625" style="28" hidden="1" customWidth="1"/>
    <col min="6" max="6" width="14.140625" style="25" hidden="1" customWidth="1"/>
    <col min="7" max="7" width="12.7109375" style="24" hidden="1" customWidth="1"/>
    <col min="8" max="8" width="13.5703125" style="24" hidden="1" customWidth="1"/>
    <col min="9" max="9" width="15.85546875" style="24" hidden="1" customWidth="1"/>
    <col min="10" max="10" width="15.85546875" style="26" customWidth="1"/>
    <col min="11" max="11" width="9.140625" style="24"/>
    <col min="12" max="12" width="31.42578125" style="24" customWidth="1"/>
    <col min="13" max="15" width="9.140625" style="24"/>
  </cols>
  <sheetData>
    <row r="1" spans="1:14" ht="15.75" customHeight="1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</row>
    <row r="3" spans="1:14" s="4" customFormat="1" ht="53.25" customHeight="1" x14ac:dyDescent="0.25">
      <c r="A3" s="33" t="s">
        <v>30</v>
      </c>
      <c r="B3" s="13" t="s">
        <v>2</v>
      </c>
      <c r="C3" s="13" t="s">
        <v>3</v>
      </c>
      <c r="D3" s="11" t="s">
        <v>19</v>
      </c>
      <c r="E3" s="2" t="s">
        <v>20</v>
      </c>
      <c r="F3" s="2" t="s">
        <v>21</v>
      </c>
      <c r="G3" s="7" t="s">
        <v>22</v>
      </c>
      <c r="H3" s="7" t="s">
        <v>23</v>
      </c>
      <c r="I3" s="7" t="s">
        <v>24</v>
      </c>
      <c r="J3" s="14"/>
      <c r="K3" s="14"/>
      <c r="L3" s="14"/>
      <c r="M3" s="14"/>
      <c r="N3" s="14"/>
    </row>
    <row r="4" spans="1:14" s="4" customFormat="1" ht="15" customHeight="1" x14ac:dyDescent="0.25">
      <c r="A4" s="34"/>
      <c r="B4" s="5" t="s">
        <v>15</v>
      </c>
      <c r="C4" s="1"/>
      <c r="D4" s="30"/>
      <c r="E4" s="30"/>
      <c r="F4" s="15"/>
      <c r="G4" s="6"/>
      <c r="H4" s="6"/>
      <c r="I4" s="3"/>
      <c r="J4" s="14"/>
      <c r="K4" s="14"/>
      <c r="L4" s="14"/>
      <c r="M4" s="14"/>
      <c r="N4" s="14"/>
    </row>
    <row r="5" spans="1:14" s="4" customFormat="1" x14ac:dyDescent="0.25">
      <c r="A5" s="40">
        <v>1</v>
      </c>
      <c r="B5" s="47" t="s">
        <v>0</v>
      </c>
      <c r="C5" s="6" t="s">
        <v>9</v>
      </c>
      <c r="D5" s="16">
        <v>2209447.34</v>
      </c>
      <c r="E5" s="30">
        <f>62670+10420.81</f>
        <v>73090.81</v>
      </c>
      <c r="F5" s="8">
        <f>1%*D5</f>
        <v>22094.473399999999</v>
      </c>
      <c r="G5" s="2">
        <f>2.14%*D5</f>
        <v>47282.173075999999</v>
      </c>
      <c r="H5" s="2">
        <f>15%*D5</f>
        <v>331417.10099999997</v>
      </c>
      <c r="I5" s="2">
        <f>SUM(D5:H5)</f>
        <v>2683331.8974759998</v>
      </c>
      <c r="J5" s="14"/>
      <c r="K5" s="14"/>
      <c r="L5" s="14"/>
      <c r="M5" s="14"/>
      <c r="N5" s="14"/>
    </row>
    <row r="6" spans="1:14" s="4" customFormat="1" x14ac:dyDescent="0.25">
      <c r="A6" s="40"/>
      <c r="B6" s="48"/>
      <c r="C6" s="6" t="s">
        <v>25</v>
      </c>
      <c r="D6" s="16">
        <v>148965.56</v>
      </c>
      <c r="E6" s="30">
        <v>6257</v>
      </c>
      <c r="F6" s="8">
        <f>1%*D6</f>
        <v>1489.6556</v>
      </c>
      <c r="G6" s="2">
        <f>2.14%*D6</f>
        <v>3187.8629840000003</v>
      </c>
      <c r="H6" s="2">
        <f>15%*D6</f>
        <v>22344.833999999999</v>
      </c>
      <c r="I6" s="2">
        <f>SUM(D6:H6)</f>
        <v>182244.91258400001</v>
      </c>
      <c r="J6" s="14"/>
      <c r="K6" s="14"/>
      <c r="L6" s="14"/>
      <c r="M6" s="14"/>
      <c r="N6" s="14"/>
    </row>
    <row r="7" spans="1:14" s="4" customFormat="1" x14ac:dyDescent="0.25">
      <c r="A7" s="40"/>
      <c r="B7" s="49"/>
      <c r="C7" s="6" t="s">
        <v>12</v>
      </c>
      <c r="D7" s="16">
        <v>674996.58</v>
      </c>
      <c r="E7" s="30">
        <v>3580</v>
      </c>
      <c r="F7" s="8">
        <f>1%*D7</f>
        <v>6749.9657999999999</v>
      </c>
      <c r="G7" s="2">
        <f>2.14%*D7</f>
        <v>14444.926812000002</v>
      </c>
      <c r="H7" s="2">
        <f>15%*D7</f>
        <v>101249.48699999999</v>
      </c>
      <c r="I7" s="2">
        <f>SUM(D7:H7)</f>
        <v>801020.95961199992</v>
      </c>
      <c r="J7" s="14"/>
      <c r="K7" s="14"/>
      <c r="L7" s="14"/>
      <c r="M7" s="14"/>
      <c r="N7" s="14"/>
    </row>
    <row r="8" spans="1:14" s="4" customFormat="1" x14ac:dyDescent="0.25">
      <c r="A8" s="35">
        <v>2</v>
      </c>
      <c r="B8" s="32" t="str">
        <f>"г. Череповец, пр-кт. Московский, д. 50"</f>
        <v>г. Череповец, пр-кт. Московский, д. 50</v>
      </c>
      <c r="C8" s="6" t="s">
        <v>4</v>
      </c>
      <c r="D8" s="16">
        <v>4382209.66</v>
      </c>
      <c r="E8" s="30">
        <v>88470.94</v>
      </c>
      <c r="F8" s="8">
        <f>1%*D8</f>
        <v>43822.096600000004</v>
      </c>
      <c r="G8" s="2">
        <f>2.14%*D8</f>
        <v>93779.28672400002</v>
      </c>
      <c r="H8" s="2">
        <f>15%*D8</f>
        <v>657331.44900000002</v>
      </c>
      <c r="I8" s="2">
        <f>SUM(D8:H8)</f>
        <v>5265613.4323240006</v>
      </c>
      <c r="J8" s="14"/>
      <c r="K8" s="14"/>
      <c r="L8" s="14"/>
      <c r="M8" s="14"/>
      <c r="N8" s="14"/>
    </row>
    <row r="9" spans="1:14" s="4" customFormat="1" x14ac:dyDescent="0.25">
      <c r="A9" s="40">
        <v>3</v>
      </c>
      <c r="B9" s="47" t="s">
        <v>16</v>
      </c>
      <c r="C9" s="6" t="s">
        <v>12</v>
      </c>
      <c r="D9" s="19">
        <v>342532.76</v>
      </c>
      <c r="E9" s="30">
        <v>6148</v>
      </c>
      <c r="F9" s="8">
        <f>1%*D9</f>
        <v>3425.3276000000001</v>
      </c>
      <c r="G9" s="2">
        <f>2.14%*D9</f>
        <v>7330.2010640000008</v>
      </c>
      <c r="H9" s="2">
        <f>15%*D9</f>
        <v>51379.913999999997</v>
      </c>
      <c r="I9" s="2">
        <f>SUM(D9:H9)</f>
        <v>410816.20266400004</v>
      </c>
      <c r="J9" s="14"/>
      <c r="K9" s="14"/>
      <c r="L9" s="14"/>
      <c r="M9" s="14"/>
      <c r="N9" s="14"/>
    </row>
    <row r="10" spans="1:14" s="4" customFormat="1" x14ac:dyDescent="0.25">
      <c r="A10" s="40"/>
      <c r="B10" s="49"/>
      <c r="C10" s="6" t="s">
        <v>25</v>
      </c>
      <c r="D10" s="19"/>
      <c r="E10" s="30"/>
      <c r="F10" s="8"/>
      <c r="G10" s="2"/>
      <c r="H10" s="2"/>
      <c r="I10" s="2"/>
      <c r="J10" s="14"/>
      <c r="K10" s="14"/>
      <c r="L10" s="14"/>
      <c r="M10" s="14"/>
      <c r="N10" s="14"/>
    </row>
    <row r="11" spans="1:14" s="4" customFormat="1" x14ac:dyDescent="0.25">
      <c r="A11" s="35">
        <v>4</v>
      </c>
      <c r="B11" s="32" t="s">
        <v>26</v>
      </c>
      <c r="C11" s="6" t="s">
        <v>4</v>
      </c>
      <c r="D11" s="16">
        <v>7980460.3600000003</v>
      </c>
      <c r="E11" s="30">
        <v>147096.99</v>
      </c>
      <c r="F11" s="9">
        <f>1%*D11</f>
        <v>79804.603600000002</v>
      </c>
      <c r="G11" s="31">
        <f>2.14%*D11</f>
        <v>170781.85170400003</v>
      </c>
      <c r="H11" s="31">
        <f>15%*D11</f>
        <v>1197069.054</v>
      </c>
      <c r="I11" s="31">
        <f>SUM(D11:H11)</f>
        <v>9575212.8593039997</v>
      </c>
      <c r="J11" s="14"/>
      <c r="K11" s="14"/>
      <c r="L11" s="14"/>
      <c r="M11" s="14"/>
      <c r="N11" s="14"/>
    </row>
    <row r="12" spans="1:14" s="4" customFormat="1" x14ac:dyDescent="0.25">
      <c r="A12" s="35">
        <v>5</v>
      </c>
      <c r="B12" s="32" t="str">
        <f>"г. Череповец, пр-кт. Победы, д. 186"</f>
        <v>г. Череповец, пр-кт. Победы, д. 186</v>
      </c>
      <c r="C12" s="6" t="s">
        <v>4</v>
      </c>
      <c r="D12" s="16">
        <v>7606350.7999999998</v>
      </c>
      <c r="E12" s="30">
        <v>169715.34</v>
      </c>
      <c r="F12" s="8">
        <f t="shared" ref="F12" si="0">1%*D12</f>
        <v>76063.508000000002</v>
      </c>
      <c r="G12" s="2">
        <f t="shared" ref="G12" si="1">2.14%*D12</f>
        <v>162775.90712000002</v>
      </c>
      <c r="H12" s="2">
        <f t="shared" ref="H12" si="2">15%*D12</f>
        <v>1140952.6199999999</v>
      </c>
      <c r="I12" s="2">
        <f t="shared" ref="I12" si="3">SUM(D12:H12)</f>
        <v>9155858.1751199998</v>
      </c>
      <c r="J12" s="14"/>
      <c r="K12" s="14"/>
      <c r="L12" s="14"/>
      <c r="M12" s="14"/>
      <c r="N12" s="14"/>
    </row>
    <row r="13" spans="1:14" s="4" customFormat="1" x14ac:dyDescent="0.25">
      <c r="A13" s="40">
        <v>6</v>
      </c>
      <c r="B13" s="47" t="s">
        <v>1</v>
      </c>
      <c r="C13" s="6" t="s">
        <v>25</v>
      </c>
      <c r="D13" s="16">
        <v>597575.6</v>
      </c>
      <c r="E13" s="30">
        <v>6220</v>
      </c>
      <c r="F13" s="8">
        <f t="shared" ref="F13:F24" si="4">1%*D13</f>
        <v>5975.7560000000003</v>
      </c>
      <c r="G13" s="2">
        <f t="shared" ref="G13:G24" si="5">2.14%*D13</f>
        <v>12788.117840000001</v>
      </c>
      <c r="H13" s="2">
        <f t="shared" ref="H13:H24" si="6">15%*D13</f>
        <v>89636.34</v>
      </c>
      <c r="I13" s="2">
        <f t="shared" ref="I13:I24" si="7">SUM(D13:H13)</f>
        <v>712195.81383999996</v>
      </c>
      <c r="J13" s="14"/>
      <c r="K13" s="14"/>
      <c r="L13" s="14"/>
      <c r="M13" s="14"/>
      <c r="N13" s="14"/>
    </row>
    <row r="14" spans="1:14" s="4" customFormat="1" x14ac:dyDescent="0.25">
      <c r="A14" s="40"/>
      <c r="B14" s="49"/>
      <c r="C14" s="6" t="s">
        <v>12</v>
      </c>
      <c r="D14" s="16">
        <v>2276162.1800000002</v>
      </c>
      <c r="E14" s="30">
        <v>4660</v>
      </c>
      <c r="F14" s="8">
        <f t="shared" si="4"/>
        <v>22761.621800000001</v>
      </c>
      <c r="G14" s="2">
        <f t="shared" si="5"/>
        <v>48709.870652000012</v>
      </c>
      <c r="H14" s="2">
        <f t="shared" si="6"/>
        <v>341424.32699999999</v>
      </c>
      <c r="I14" s="2">
        <f t="shared" si="7"/>
        <v>2693717.999452</v>
      </c>
      <c r="J14" s="14"/>
      <c r="K14" s="14"/>
      <c r="L14" s="14"/>
      <c r="M14" s="14"/>
      <c r="N14" s="14"/>
    </row>
    <row r="15" spans="1:14" s="4" customFormat="1" x14ac:dyDescent="0.25">
      <c r="A15" s="41">
        <v>7</v>
      </c>
      <c r="B15" s="50" t="str">
        <f>"г. Череповец, пр-кт. Победы, д. 210"</f>
        <v>г. Череповец, пр-кт. Победы, д. 210</v>
      </c>
      <c r="C15" s="6" t="s">
        <v>14</v>
      </c>
      <c r="D15" s="30">
        <v>6907555.7699999996</v>
      </c>
      <c r="E15" s="30">
        <v>133915.87</v>
      </c>
      <c r="F15" s="8">
        <f t="shared" si="4"/>
        <v>69075.55769999999</v>
      </c>
      <c r="G15" s="2">
        <f t="shared" si="5"/>
        <v>147821.693478</v>
      </c>
      <c r="H15" s="2">
        <f t="shared" si="6"/>
        <v>1036133.3654999998</v>
      </c>
      <c r="I15" s="2">
        <f t="shared" si="7"/>
        <v>8294502.2566780001</v>
      </c>
      <c r="J15" s="14"/>
      <c r="K15" s="14"/>
      <c r="L15" s="14"/>
      <c r="M15" s="14"/>
      <c r="N15" s="14"/>
    </row>
    <row r="16" spans="1:14" s="4" customFormat="1" x14ac:dyDescent="0.25">
      <c r="A16" s="42"/>
      <c r="B16" s="51"/>
      <c r="C16" s="6" t="s">
        <v>13</v>
      </c>
      <c r="D16" s="16">
        <v>699251.48</v>
      </c>
      <c r="E16" s="30">
        <v>6220</v>
      </c>
      <c r="F16" s="8">
        <f t="shared" ref="F16" si="8">1%*D16</f>
        <v>6992.5147999999999</v>
      </c>
      <c r="G16" s="2">
        <f t="shared" ref="G16" si="9">2.14%*D16</f>
        <v>14963.981672000002</v>
      </c>
      <c r="H16" s="2">
        <f t="shared" ref="H16" si="10">15%*D16</f>
        <v>104887.72199999999</v>
      </c>
      <c r="I16" s="2">
        <f t="shared" ref="I16" si="11">SUM(D16:H16)</f>
        <v>832315.69847199996</v>
      </c>
      <c r="J16" s="14"/>
      <c r="K16" s="14"/>
      <c r="L16" s="14"/>
      <c r="M16" s="14"/>
      <c r="N16" s="14"/>
    </row>
    <row r="17" spans="1:14" s="4" customFormat="1" x14ac:dyDescent="0.25">
      <c r="A17" s="43">
        <v>8</v>
      </c>
      <c r="B17" s="47" t="str">
        <f>"г. Череповец, пр-кт. Победы, д. 32"</f>
        <v>г. Череповец, пр-кт. Победы, д. 32</v>
      </c>
      <c r="C17" s="6" t="s">
        <v>6</v>
      </c>
      <c r="D17" s="16">
        <v>393817.92</v>
      </c>
      <c r="E17" s="30">
        <v>55550</v>
      </c>
      <c r="F17" s="8">
        <f>1%*D17</f>
        <v>3938.1792</v>
      </c>
      <c r="G17" s="2">
        <f>2.14%*D17</f>
        <v>8427.703488000001</v>
      </c>
      <c r="H17" s="2">
        <f>15%*D17</f>
        <v>59072.687999999995</v>
      </c>
      <c r="I17" s="2">
        <f>SUM(D17:H17)</f>
        <v>520806.49068799999</v>
      </c>
      <c r="J17" s="14"/>
      <c r="K17" s="14"/>
      <c r="L17" s="14"/>
      <c r="M17" s="14"/>
      <c r="N17" s="14"/>
    </row>
    <row r="18" spans="1:14" s="4" customFormat="1" x14ac:dyDescent="0.25">
      <c r="A18" s="44"/>
      <c r="B18" s="48"/>
      <c r="C18" s="6" t="s">
        <v>7</v>
      </c>
      <c r="D18" s="16">
        <v>593632.04</v>
      </c>
      <c r="E18" s="30">
        <v>55550</v>
      </c>
      <c r="F18" s="8">
        <f>1%*D18</f>
        <v>5936.3204000000005</v>
      </c>
      <c r="G18" s="2">
        <f>2.14%*D18</f>
        <v>12703.725656000002</v>
      </c>
      <c r="H18" s="2">
        <f>15%*D18</f>
        <v>89044.805999999997</v>
      </c>
      <c r="I18" s="2">
        <f>SUM(D18:H18)</f>
        <v>756866.89205599995</v>
      </c>
      <c r="J18" s="14"/>
      <c r="K18" s="14"/>
      <c r="L18" s="14"/>
      <c r="M18" s="14"/>
      <c r="N18" s="14"/>
    </row>
    <row r="19" spans="1:14" s="4" customFormat="1" x14ac:dyDescent="0.25">
      <c r="A19" s="44"/>
      <c r="B19" s="48"/>
      <c r="C19" s="6" t="s">
        <v>8</v>
      </c>
      <c r="D19" s="16">
        <v>660184.04</v>
      </c>
      <c r="E19" s="30">
        <v>55550</v>
      </c>
      <c r="F19" s="8">
        <f>1%*D19</f>
        <v>6601.840400000001</v>
      </c>
      <c r="G19" s="2">
        <f>2.14%*D19</f>
        <v>14127.938456000002</v>
      </c>
      <c r="H19" s="2">
        <f>15%*D19</f>
        <v>99027.606</v>
      </c>
      <c r="I19" s="2">
        <f>SUM(D19:H19)</f>
        <v>835491.424856</v>
      </c>
      <c r="J19" s="14"/>
      <c r="K19" s="14"/>
      <c r="L19" s="14"/>
      <c r="M19" s="14"/>
      <c r="N19" s="14"/>
    </row>
    <row r="20" spans="1:14" s="4" customFormat="1" x14ac:dyDescent="0.25">
      <c r="A20" s="44"/>
      <c r="B20" s="48"/>
      <c r="C20" s="6" t="s">
        <v>4</v>
      </c>
      <c r="D20" s="16">
        <v>4746770.66</v>
      </c>
      <c r="E20" s="30">
        <f>61680+10390.53</f>
        <v>72070.53</v>
      </c>
      <c r="F20" s="8">
        <f>1%*D20</f>
        <v>47467.706600000005</v>
      </c>
      <c r="G20" s="2">
        <f>2.14%*D20</f>
        <v>101580.89212400002</v>
      </c>
      <c r="H20" s="2">
        <f>15%*D20</f>
        <v>712015.59900000005</v>
      </c>
      <c r="I20" s="2">
        <f>SUM(D20:H20)</f>
        <v>5679905.387724001</v>
      </c>
      <c r="J20" s="14"/>
      <c r="K20" s="14"/>
      <c r="L20" s="14"/>
      <c r="M20" s="14"/>
      <c r="N20" s="14"/>
    </row>
    <row r="21" spans="1:14" s="4" customFormat="1" x14ac:dyDescent="0.25">
      <c r="A21" s="45"/>
      <c r="B21" s="49"/>
      <c r="C21" s="6" t="s">
        <v>13</v>
      </c>
      <c r="D21" s="16">
        <v>580931.69999999995</v>
      </c>
      <c r="E21" s="30">
        <v>6220</v>
      </c>
      <c r="F21" s="8">
        <f>1%*D21</f>
        <v>5809.317</v>
      </c>
      <c r="G21" s="2">
        <f>2.14%*D21</f>
        <v>12431.93838</v>
      </c>
      <c r="H21" s="2">
        <f>15%*D21</f>
        <v>87139.75499999999</v>
      </c>
      <c r="I21" s="2">
        <f>SUM(D21:H21)</f>
        <v>692532.71037999995</v>
      </c>
      <c r="J21" s="14"/>
      <c r="K21" s="14"/>
      <c r="L21" s="14"/>
      <c r="M21" s="14"/>
      <c r="N21" s="14"/>
    </row>
    <row r="22" spans="1:14" s="4" customFormat="1" x14ac:dyDescent="0.25">
      <c r="A22" s="40">
        <v>9</v>
      </c>
      <c r="B22" s="47" t="str">
        <f>"г. Череповец, пр-кт. Шекснинский, д. 13"</f>
        <v>г. Череповец, пр-кт. Шекснинский, д. 13</v>
      </c>
      <c r="C22" s="6" t="s">
        <v>6</v>
      </c>
      <c r="D22" s="17">
        <v>468672.4</v>
      </c>
      <c r="E22" s="30">
        <v>74240</v>
      </c>
      <c r="F22" s="8">
        <f t="shared" si="4"/>
        <v>4686.7240000000002</v>
      </c>
      <c r="G22" s="2">
        <f t="shared" si="5"/>
        <v>10029.589360000002</v>
      </c>
      <c r="H22" s="2">
        <f t="shared" si="6"/>
        <v>70300.86</v>
      </c>
      <c r="I22" s="2">
        <f t="shared" si="7"/>
        <v>627929.57336000004</v>
      </c>
      <c r="J22" s="14"/>
      <c r="K22" s="14"/>
      <c r="L22" s="14"/>
      <c r="M22" s="14"/>
      <c r="N22" s="14"/>
    </row>
    <row r="23" spans="1:14" s="4" customFormat="1" x14ac:dyDescent="0.25">
      <c r="A23" s="40"/>
      <c r="B23" s="48"/>
      <c r="C23" s="6" t="s">
        <v>7</v>
      </c>
      <c r="D23" s="17">
        <v>2352509.36</v>
      </c>
      <c r="E23" s="30">
        <f>74240+6803.68</f>
        <v>81043.679999999993</v>
      </c>
      <c r="F23" s="8">
        <f t="shared" si="4"/>
        <v>23525.0936</v>
      </c>
      <c r="G23" s="2">
        <f t="shared" si="5"/>
        <v>50343.700304000005</v>
      </c>
      <c r="H23" s="2">
        <f t="shared" si="6"/>
        <v>352876.40399999998</v>
      </c>
      <c r="I23" s="2">
        <f t="shared" si="7"/>
        <v>2860298.2379040001</v>
      </c>
      <c r="J23" s="14"/>
      <c r="K23" s="14"/>
      <c r="L23" s="14"/>
      <c r="M23" s="14"/>
      <c r="N23" s="14"/>
    </row>
    <row r="24" spans="1:14" s="4" customFormat="1" x14ac:dyDescent="0.25">
      <c r="A24" s="40"/>
      <c r="B24" s="49"/>
      <c r="C24" s="6" t="s">
        <v>8</v>
      </c>
      <c r="D24" s="17">
        <v>591991.84</v>
      </c>
      <c r="E24" s="30">
        <v>74240</v>
      </c>
      <c r="F24" s="8">
        <f t="shared" si="4"/>
        <v>5919.9183999999996</v>
      </c>
      <c r="G24" s="2">
        <f t="shared" si="5"/>
        <v>12668.625376</v>
      </c>
      <c r="H24" s="2">
        <f t="shared" si="6"/>
        <v>88798.775999999998</v>
      </c>
      <c r="I24" s="2">
        <f t="shared" si="7"/>
        <v>773619.15977599984</v>
      </c>
      <c r="J24" s="14"/>
      <c r="K24" s="14"/>
      <c r="L24" s="14"/>
      <c r="M24" s="14"/>
      <c r="N24" s="14"/>
    </row>
    <row r="25" spans="1:14" s="4" customFormat="1" x14ac:dyDescent="0.25">
      <c r="A25" s="40">
        <v>10</v>
      </c>
      <c r="B25" s="47" t="s">
        <v>29</v>
      </c>
      <c r="C25" s="27" t="s">
        <v>5</v>
      </c>
      <c r="D25" s="17"/>
      <c r="E25" s="30"/>
      <c r="F25" s="8"/>
      <c r="G25" s="2"/>
      <c r="H25" s="2"/>
      <c r="I25" s="2"/>
      <c r="J25" s="14"/>
      <c r="K25" s="14"/>
      <c r="L25" s="14"/>
      <c r="M25" s="14"/>
      <c r="N25" s="14"/>
    </row>
    <row r="26" spans="1:14" s="4" customFormat="1" x14ac:dyDescent="0.25">
      <c r="A26" s="40"/>
      <c r="B26" s="49"/>
      <c r="C26" s="27" t="s">
        <v>4</v>
      </c>
      <c r="D26" s="17"/>
      <c r="E26" s="30"/>
      <c r="F26" s="8"/>
      <c r="G26" s="2"/>
      <c r="H26" s="2"/>
      <c r="I26" s="2"/>
      <c r="J26" s="14"/>
      <c r="K26" s="14"/>
      <c r="L26" s="14"/>
      <c r="M26" s="14"/>
      <c r="N26" s="14"/>
    </row>
    <row r="27" spans="1:14" s="4" customFormat="1" x14ac:dyDescent="0.25">
      <c r="A27" s="35">
        <v>11</v>
      </c>
      <c r="B27" s="32" t="str">
        <f>"г. Череповец, ул. Бабушкина, д. 4"</f>
        <v>г. Череповец, ул. Бабушкина, д. 4</v>
      </c>
      <c r="C27" s="6" t="s">
        <v>11</v>
      </c>
      <c r="D27" s="17">
        <v>1206086.26</v>
      </c>
      <c r="E27" s="30">
        <v>99409.1</v>
      </c>
      <c r="F27" s="8">
        <f t="shared" ref="F27:F34" si="12">1%*D27</f>
        <v>12060.8626</v>
      </c>
      <c r="G27" s="2">
        <f t="shared" ref="G27:G34" si="13">2.14%*D27</f>
        <v>25810.245964000002</v>
      </c>
      <c r="H27" s="2">
        <f t="shared" ref="H27:H34" si="14">15%*D27</f>
        <v>180912.93899999998</v>
      </c>
      <c r="I27" s="2">
        <f t="shared" ref="I27:I34" si="15">SUM(D27:H27)</f>
        <v>1524279.4075640002</v>
      </c>
      <c r="J27" s="14"/>
      <c r="K27" s="14"/>
      <c r="L27" s="14"/>
      <c r="M27" s="14"/>
      <c r="N27" s="14"/>
    </row>
    <row r="28" spans="1:14" s="4" customFormat="1" x14ac:dyDescent="0.25">
      <c r="A28" s="40">
        <v>12</v>
      </c>
      <c r="B28" s="47" t="str">
        <f>"г. Череповец, ул. Бардина, д. 27"</f>
        <v>г. Череповец, ул. Бардина, д. 27</v>
      </c>
      <c r="C28" s="6" t="s">
        <v>9</v>
      </c>
      <c r="D28" s="16">
        <v>3490176.86</v>
      </c>
      <c r="E28" s="12">
        <f>72890+5598.76</f>
        <v>78488.759999999995</v>
      </c>
      <c r="F28" s="8">
        <f t="shared" si="12"/>
        <v>34901.768599999996</v>
      </c>
      <c r="G28" s="2">
        <f t="shared" si="13"/>
        <v>74689.78480400001</v>
      </c>
      <c r="H28" s="2">
        <f t="shared" si="14"/>
        <v>523526.52899999998</v>
      </c>
      <c r="I28" s="2">
        <f t="shared" si="15"/>
        <v>4201783.7024039999</v>
      </c>
      <c r="J28" s="14"/>
      <c r="K28" s="14"/>
      <c r="L28" s="14"/>
      <c r="M28" s="14"/>
      <c r="N28" s="14"/>
    </row>
    <row r="29" spans="1:14" s="4" customFormat="1" x14ac:dyDescent="0.25">
      <c r="A29" s="40"/>
      <c r="B29" s="48"/>
      <c r="C29" s="6" t="s">
        <v>25</v>
      </c>
      <c r="D29" s="16">
        <v>298776</v>
      </c>
      <c r="E29" s="12">
        <v>4140</v>
      </c>
      <c r="F29" s="8">
        <f t="shared" si="12"/>
        <v>2987.76</v>
      </c>
      <c r="G29" s="2">
        <f t="shared" si="13"/>
        <v>6393.8064000000004</v>
      </c>
      <c r="H29" s="2">
        <f t="shared" si="14"/>
        <v>44816.4</v>
      </c>
      <c r="I29" s="2">
        <f t="shared" si="15"/>
        <v>357113.96640000003</v>
      </c>
      <c r="J29" s="14"/>
      <c r="K29" s="14"/>
      <c r="L29" s="14"/>
      <c r="M29" s="14"/>
      <c r="N29" s="14"/>
    </row>
    <row r="30" spans="1:14" s="4" customFormat="1" x14ac:dyDescent="0.25">
      <c r="A30" s="40"/>
      <c r="B30" s="49"/>
      <c r="C30" s="6" t="s">
        <v>12</v>
      </c>
      <c r="D30" s="16">
        <v>495898.54</v>
      </c>
      <c r="E30" s="12">
        <v>6257</v>
      </c>
      <c r="F30" s="8">
        <f t="shared" si="12"/>
        <v>4958.9853999999996</v>
      </c>
      <c r="G30" s="2">
        <f t="shared" si="13"/>
        <v>10612.228756</v>
      </c>
      <c r="H30" s="2">
        <f t="shared" si="14"/>
        <v>74384.780999999988</v>
      </c>
      <c r="I30" s="2">
        <f t="shared" si="15"/>
        <v>592111.53515599994</v>
      </c>
      <c r="J30" s="14"/>
      <c r="K30" s="14"/>
      <c r="L30" s="14"/>
      <c r="M30" s="14"/>
      <c r="N30" s="14"/>
    </row>
    <row r="31" spans="1:14" s="4" customFormat="1" x14ac:dyDescent="0.25">
      <c r="A31" s="40">
        <v>13</v>
      </c>
      <c r="B31" s="47" t="str">
        <f>"г. Череповец, ул. Бардина, д. 3"</f>
        <v>г. Череповец, ул. Бардина, д. 3</v>
      </c>
      <c r="C31" s="6" t="s">
        <v>9</v>
      </c>
      <c r="D31" s="16">
        <v>4150852.96</v>
      </c>
      <c r="E31" s="12">
        <f>81080+9646.11</f>
        <v>90726.11</v>
      </c>
      <c r="F31" s="8">
        <f t="shared" si="12"/>
        <v>41508.529600000002</v>
      </c>
      <c r="G31" s="2">
        <f t="shared" si="13"/>
        <v>88828.253344000012</v>
      </c>
      <c r="H31" s="2">
        <f t="shared" si="14"/>
        <v>622627.94400000002</v>
      </c>
      <c r="I31" s="2">
        <f t="shared" si="15"/>
        <v>4994543.7969440008</v>
      </c>
      <c r="J31" s="14"/>
      <c r="K31" s="14"/>
      <c r="L31" s="14"/>
      <c r="M31" s="14"/>
      <c r="N31" s="14"/>
    </row>
    <row r="32" spans="1:14" s="4" customFormat="1" x14ac:dyDescent="0.25">
      <c r="A32" s="40"/>
      <c r="B32" s="48"/>
      <c r="C32" s="6" t="s">
        <v>25</v>
      </c>
      <c r="D32" s="16">
        <v>298776</v>
      </c>
      <c r="E32" s="12">
        <v>4660</v>
      </c>
      <c r="F32" s="8">
        <f t="shared" si="12"/>
        <v>2987.76</v>
      </c>
      <c r="G32" s="2">
        <f t="shared" si="13"/>
        <v>6393.8064000000004</v>
      </c>
      <c r="H32" s="2">
        <f t="shared" si="14"/>
        <v>44816.4</v>
      </c>
      <c r="I32" s="2">
        <f t="shared" si="15"/>
        <v>357633.96640000003</v>
      </c>
      <c r="J32" s="14"/>
      <c r="K32" s="14"/>
      <c r="L32" s="14"/>
      <c r="M32" s="14"/>
      <c r="N32" s="14"/>
    </row>
    <row r="33" spans="1:14" s="4" customFormat="1" x14ac:dyDescent="0.25">
      <c r="A33" s="40"/>
      <c r="B33" s="49"/>
      <c r="C33" s="6" t="s">
        <v>12</v>
      </c>
      <c r="D33" s="16">
        <v>416679.24</v>
      </c>
      <c r="E33" s="12">
        <v>6257</v>
      </c>
      <c r="F33" s="8">
        <f t="shared" si="12"/>
        <v>4166.7924000000003</v>
      </c>
      <c r="G33" s="2">
        <f t="shared" si="13"/>
        <v>8916.9357360000013</v>
      </c>
      <c r="H33" s="2">
        <f t="shared" si="14"/>
        <v>62501.885999999999</v>
      </c>
      <c r="I33" s="2">
        <f t="shared" si="15"/>
        <v>498521.85413599998</v>
      </c>
      <c r="J33" s="14"/>
      <c r="K33" s="14"/>
      <c r="L33" s="14"/>
      <c r="M33" s="14"/>
      <c r="N33" s="14"/>
    </row>
    <row r="34" spans="1:14" s="4" customFormat="1" x14ac:dyDescent="0.25">
      <c r="A34" s="40">
        <v>14</v>
      </c>
      <c r="B34" s="47" t="str">
        <f>"г. Череповец, ул. Гоголя, д. 19"</f>
        <v>г. Череповец, ул. Гоголя, д. 19</v>
      </c>
      <c r="C34" s="6" t="s">
        <v>12</v>
      </c>
      <c r="D34" s="16">
        <v>351563.3</v>
      </c>
      <c r="E34" s="20">
        <v>6257</v>
      </c>
      <c r="F34" s="8">
        <f t="shared" si="12"/>
        <v>3515.6329999999998</v>
      </c>
      <c r="G34" s="2">
        <f t="shared" si="13"/>
        <v>7523.4546200000004</v>
      </c>
      <c r="H34" s="2">
        <f t="shared" si="14"/>
        <v>52734.494999999995</v>
      </c>
      <c r="I34" s="2">
        <f t="shared" si="15"/>
        <v>421593.88261999993</v>
      </c>
      <c r="J34" s="14"/>
      <c r="K34" s="14"/>
      <c r="L34" s="14"/>
      <c r="M34" s="14"/>
      <c r="N34" s="14"/>
    </row>
    <row r="35" spans="1:14" s="4" customFormat="1" x14ac:dyDescent="0.25">
      <c r="A35" s="40"/>
      <c r="B35" s="49"/>
      <c r="C35" s="6" t="s">
        <v>4</v>
      </c>
      <c r="D35" s="16"/>
      <c r="E35" s="20"/>
      <c r="F35" s="8"/>
      <c r="G35" s="2"/>
      <c r="H35" s="2"/>
      <c r="I35" s="2"/>
      <c r="J35" s="14"/>
      <c r="K35" s="14"/>
      <c r="L35" s="14"/>
      <c r="M35" s="14"/>
      <c r="N35" s="14"/>
    </row>
    <row r="36" spans="1:14" s="4" customFormat="1" x14ac:dyDescent="0.25">
      <c r="A36" s="35">
        <v>15</v>
      </c>
      <c r="B36" s="32" t="str">
        <f>"г. Череповец, ул. К.Белова, д. 43"</f>
        <v>г. Череповец, ул. К.Белова, д. 43</v>
      </c>
      <c r="C36" s="6" t="s">
        <v>4</v>
      </c>
      <c r="D36" s="16"/>
      <c r="E36" s="30"/>
      <c r="F36" s="8"/>
      <c r="G36" s="2"/>
      <c r="H36" s="2"/>
      <c r="I36" s="2"/>
      <c r="J36" s="14"/>
      <c r="K36" s="14"/>
      <c r="L36" s="14"/>
      <c r="M36" s="14"/>
      <c r="N36" s="14"/>
    </row>
    <row r="37" spans="1:14" s="4" customFormat="1" x14ac:dyDescent="0.25">
      <c r="A37" s="35">
        <v>16</v>
      </c>
      <c r="B37" s="32" t="str">
        <f>"г. Череповец, ул. К.Беляева, д. 31"</f>
        <v>г. Череповец, ул. К.Беляева, д. 31</v>
      </c>
      <c r="C37" s="6" t="s">
        <v>10</v>
      </c>
      <c r="D37" s="17">
        <v>1968578.66</v>
      </c>
      <c r="E37" s="30">
        <v>85243.83</v>
      </c>
      <c r="F37" s="8">
        <f t="shared" ref="F37" si="16">1%*D37</f>
        <v>19685.786599999999</v>
      </c>
      <c r="G37" s="2">
        <f t="shared" ref="G37" si="17">2.14%*D37</f>
        <v>42127.583323999999</v>
      </c>
      <c r="H37" s="2">
        <f t="shared" ref="H37" si="18">15%*D37</f>
        <v>295286.799</v>
      </c>
      <c r="I37" s="2">
        <f t="shared" ref="I37" si="19">SUM(D37:H37)</f>
        <v>2410922.6589239999</v>
      </c>
      <c r="J37" s="14"/>
      <c r="K37" s="14"/>
      <c r="L37" s="14"/>
      <c r="M37" s="14"/>
      <c r="N37" s="14"/>
    </row>
    <row r="38" spans="1:14" s="4" customFormat="1" x14ac:dyDescent="0.25">
      <c r="A38" s="34">
        <v>17</v>
      </c>
      <c r="B38" s="32" t="str">
        <f>"г. Череповец, ул. Краснодонцев, д. 94"</f>
        <v>г. Череповец, ул. Краснодонцев, д. 94</v>
      </c>
      <c r="C38" s="10" t="s">
        <v>13</v>
      </c>
      <c r="D38" s="21">
        <v>2583199.36</v>
      </c>
      <c r="E38" s="30">
        <v>6660</v>
      </c>
      <c r="F38" s="8">
        <f>1%*D38</f>
        <v>25831.993599999998</v>
      </c>
      <c r="G38" s="2">
        <f>2.14%*D38</f>
        <v>55280.466304000001</v>
      </c>
      <c r="H38" s="2">
        <f>15%*D38</f>
        <v>387479.90399999998</v>
      </c>
      <c r="I38" s="2">
        <f>SUM(D38:H38)</f>
        <v>3058451.7239040001</v>
      </c>
      <c r="J38" s="14"/>
      <c r="K38" s="14"/>
      <c r="L38" s="14"/>
      <c r="M38" s="14"/>
      <c r="N38" s="14"/>
    </row>
    <row r="39" spans="1:14" s="4" customFormat="1" x14ac:dyDescent="0.25">
      <c r="A39" s="40">
        <v>18</v>
      </c>
      <c r="B39" s="47" t="str">
        <f>"г. Череповец, ул. Ленина, д. 112"</f>
        <v>г. Череповец, ул. Ленина, д. 112</v>
      </c>
      <c r="C39" s="6" t="s">
        <v>10</v>
      </c>
      <c r="D39" s="16">
        <v>1300434.3400000001</v>
      </c>
      <c r="E39" s="20">
        <v>65540</v>
      </c>
      <c r="F39" s="8">
        <f>1%*D39</f>
        <v>13004.343400000002</v>
      </c>
      <c r="G39" s="2">
        <f>2.14%*D39</f>
        <v>27829.294876000004</v>
      </c>
      <c r="H39" s="2">
        <f>15%*D39</f>
        <v>195065.15100000001</v>
      </c>
      <c r="I39" s="2">
        <f>SUM(D39:H39)</f>
        <v>1601873.129276</v>
      </c>
      <c r="J39" s="14"/>
      <c r="K39" s="14"/>
      <c r="L39" s="14"/>
      <c r="M39" s="14"/>
      <c r="N39" s="14"/>
    </row>
    <row r="40" spans="1:14" s="4" customFormat="1" x14ac:dyDescent="0.25">
      <c r="A40" s="40"/>
      <c r="B40" s="49"/>
      <c r="C40" s="6" t="s">
        <v>4</v>
      </c>
      <c r="D40" s="16"/>
      <c r="E40" s="20"/>
      <c r="F40" s="8"/>
      <c r="G40" s="2"/>
      <c r="H40" s="2"/>
      <c r="I40" s="2"/>
      <c r="J40" s="14"/>
      <c r="K40" s="14"/>
      <c r="L40" s="14"/>
      <c r="M40" s="14"/>
      <c r="N40" s="14"/>
    </row>
    <row r="41" spans="1:14" s="4" customFormat="1" x14ac:dyDescent="0.25">
      <c r="A41" s="40">
        <v>19</v>
      </c>
      <c r="B41" s="47" t="str">
        <f>"г. Череповец, ул. Ленина, д. 52"</f>
        <v>г. Череповец, ул. Ленина, д. 52</v>
      </c>
      <c r="C41" s="6" t="s">
        <v>10</v>
      </c>
      <c r="D41" s="16">
        <v>2829413.44</v>
      </c>
      <c r="E41" s="30">
        <f>113370+9523.01</f>
        <v>122893.01</v>
      </c>
      <c r="F41" s="8">
        <f>1%*D41</f>
        <v>28294.134399999999</v>
      </c>
      <c r="G41" s="2">
        <f>2.14%*D41</f>
        <v>60549.447616000005</v>
      </c>
      <c r="H41" s="2">
        <f>15%*D41</f>
        <v>424412.016</v>
      </c>
      <c r="I41" s="2">
        <f>SUM(D41:H41)</f>
        <v>3465562.0480159996</v>
      </c>
      <c r="J41" s="14"/>
      <c r="K41" s="14"/>
      <c r="L41" s="14"/>
      <c r="M41" s="14"/>
      <c r="N41" s="14"/>
    </row>
    <row r="42" spans="1:14" s="4" customFormat="1" x14ac:dyDescent="0.25">
      <c r="A42" s="40"/>
      <c r="B42" s="48"/>
      <c r="C42" s="6" t="s">
        <v>6</v>
      </c>
      <c r="D42" s="17">
        <v>806998.46</v>
      </c>
      <c r="E42" s="30">
        <v>140160</v>
      </c>
      <c r="F42" s="8">
        <f>1%*D42</f>
        <v>8069.9845999999998</v>
      </c>
      <c r="G42" s="2">
        <f>2.14%*D42</f>
        <v>17269.767044</v>
      </c>
      <c r="H42" s="2">
        <f>15%*D42</f>
        <v>121049.76899999999</v>
      </c>
      <c r="I42" s="2">
        <f>SUM(D42:H42)</f>
        <v>1093547.980644</v>
      </c>
      <c r="J42" s="14"/>
      <c r="K42" s="14"/>
      <c r="L42" s="14"/>
      <c r="M42" s="14"/>
      <c r="N42" s="14"/>
    </row>
    <row r="43" spans="1:14" s="4" customFormat="1" x14ac:dyDescent="0.25">
      <c r="A43" s="40"/>
      <c r="B43" s="48"/>
      <c r="C43" s="6" t="s">
        <v>7</v>
      </c>
      <c r="D43" s="17">
        <v>4821939.0199999996</v>
      </c>
      <c r="E43" s="30">
        <f>140160+25270.8</f>
        <v>165430.79999999999</v>
      </c>
      <c r="F43" s="8">
        <f>1%*D43</f>
        <v>48219.390199999994</v>
      </c>
      <c r="G43" s="2">
        <f>2.14%*D43</f>
        <v>103189.495028</v>
      </c>
      <c r="H43" s="2">
        <f>15%*D43</f>
        <v>723290.85299999989</v>
      </c>
      <c r="I43" s="2">
        <f>SUM(D43:H43)</f>
        <v>5862069.5582280001</v>
      </c>
      <c r="J43" s="14"/>
      <c r="K43" s="14"/>
      <c r="L43" s="14"/>
      <c r="M43" s="14"/>
      <c r="N43" s="14"/>
    </row>
    <row r="44" spans="1:14" s="4" customFormat="1" x14ac:dyDescent="0.25">
      <c r="A44" s="40"/>
      <c r="B44" s="49"/>
      <c r="C44" s="6" t="s">
        <v>8</v>
      </c>
      <c r="D44" s="17">
        <v>1713384.78</v>
      </c>
      <c r="E44" s="30">
        <v>140160</v>
      </c>
      <c r="F44" s="8">
        <f>1%*D44</f>
        <v>17133.8478</v>
      </c>
      <c r="G44" s="2">
        <f>2.14%*D44</f>
        <v>36666.434292000005</v>
      </c>
      <c r="H44" s="2">
        <f>15%*D44</f>
        <v>257007.717</v>
      </c>
      <c r="I44" s="2">
        <f>SUM(D44:H44)</f>
        <v>2164352.7790920003</v>
      </c>
      <c r="J44" s="14"/>
      <c r="K44" s="14"/>
      <c r="L44" s="14"/>
      <c r="M44" s="14"/>
      <c r="N44" s="14"/>
    </row>
    <row r="45" spans="1:14" s="4" customFormat="1" x14ac:dyDescent="0.25">
      <c r="A45" s="34">
        <v>20</v>
      </c>
      <c r="B45" s="32" t="str">
        <f>"г. Череповец, ул. Маяковского, д. 9"</f>
        <v>г. Череповец, ул. Маяковского, д. 9</v>
      </c>
      <c r="C45" s="6" t="s">
        <v>4</v>
      </c>
      <c r="D45" s="16">
        <v>3692564.56</v>
      </c>
      <c r="E45" s="30">
        <v>94103.79</v>
      </c>
      <c r="F45" s="8">
        <f>1%*D45</f>
        <v>36925.645600000003</v>
      </c>
      <c r="G45" s="2">
        <f>2.14%*D45</f>
        <v>79020.881584000017</v>
      </c>
      <c r="H45" s="2">
        <f>15%*D45</f>
        <v>553884.68400000001</v>
      </c>
      <c r="I45" s="2">
        <f>SUM(D45:H45)</f>
        <v>4456499.5611840002</v>
      </c>
      <c r="J45" s="14"/>
      <c r="K45" s="14"/>
      <c r="L45" s="14"/>
      <c r="M45" s="14"/>
      <c r="N45" s="14"/>
    </row>
    <row r="46" spans="1:14" s="4" customFormat="1" x14ac:dyDescent="0.25">
      <c r="A46" s="40">
        <v>21</v>
      </c>
      <c r="B46" s="47" t="str">
        <f>"г. Череповец, ул. Металлургов, д. 1"</f>
        <v>г. Череповец, ул. Металлургов, д. 1</v>
      </c>
      <c r="C46" s="6" t="s">
        <v>10</v>
      </c>
      <c r="D46" s="16">
        <v>1027724.54</v>
      </c>
      <c r="E46" s="30">
        <f>48830+8686.09</f>
        <v>57516.09</v>
      </c>
      <c r="F46" s="8">
        <f t="shared" ref="F46:F55" si="20">1%*D46</f>
        <v>10277.2454</v>
      </c>
      <c r="G46" s="2">
        <f t="shared" ref="G46:G55" si="21">2.14%*D46</f>
        <v>21993.305156000002</v>
      </c>
      <c r="H46" s="2">
        <f t="shared" ref="H46:H55" si="22">15%*D46</f>
        <v>154158.68100000001</v>
      </c>
      <c r="I46" s="2">
        <f t="shared" ref="I46:I55" si="23">SUM(D46:H46)</f>
        <v>1271669.8615560001</v>
      </c>
      <c r="J46" s="14"/>
      <c r="K46" s="14"/>
      <c r="L46" s="14"/>
      <c r="M46" s="14"/>
      <c r="N46" s="14"/>
    </row>
    <row r="47" spans="1:14" s="4" customFormat="1" x14ac:dyDescent="0.25">
      <c r="A47" s="40"/>
      <c r="B47" s="48"/>
      <c r="C47" s="10" t="s">
        <v>31</v>
      </c>
      <c r="D47" s="12">
        <v>3638150.04</v>
      </c>
      <c r="E47" s="22">
        <v>78982.73</v>
      </c>
      <c r="F47" s="8">
        <f t="shared" si="20"/>
        <v>36381.500400000004</v>
      </c>
      <c r="G47" s="2">
        <f t="shared" si="21"/>
        <v>77856.410856000002</v>
      </c>
      <c r="H47" s="2">
        <f t="shared" si="22"/>
        <v>545722.50599999994</v>
      </c>
      <c r="I47" s="2">
        <f t="shared" si="23"/>
        <v>4377093.187256</v>
      </c>
      <c r="J47" s="14"/>
      <c r="K47" s="14"/>
      <c r="L47" s="14"/>
      <c r="M47" s="14"/>
      <c r="N47" s="14"/>
    </row>
    <row r="48" spans="1:14" s="4" customFormat="1" x14ac:dyDescent="0.25">
      <c r="A48" s="40"/>
      <c r="B48" s="49"/>
      <c r="C48" s="6" t="s">
        <v>5</v>
      </c>
      <c r="D48" s="17">
        <v>5219071.5599999996</v>
      </c>
      <c r="E48" s="30">
        <f>52960+15579.75</f>
        <v>68539.75</v>
      </c>
      <c r="F48" s="8">
        <f t="shared" si="20"/>
        <v>52190.715599999996</v>
      </c>
      <c r="G48" s="2">
        <f t="shared" si="21"/>
        <v>111688.13138400001</v>
      </c>
      <c r="H48" s="2">
        <f t="shared" si="22"/>
        <v>782860.73399999994</v>
      </c>
      <c r="I48" s="2">
        <f t="shared" si="23"/>
        <v>6234350.8909839997</v>
      </c>
      <c r="J48" s="14"/>
      <c r="K48" s="14"/>
      <c r="L48" s="14"/>
      <c r="M48" s="14"/>
      <c r="N48" s="14"/>
    </row>
    <row r="49" spans="1:14" s="4" customFormat="1" x14ac:dyDescent="0.25">
      <c r="A49" s="40">
        <v>22</v>
      </c>
      <c r="B49" s="50" t="s">
        <v>18</v>
      </c>
      <c r="C49" s="6" t="s">
        <v>6</v>
      </c>
      <c r="D49" s="17">
        <v>625939.26</v>
      </c>
      <c r="E49" s="30">
        <v>57960</v>
      </c>
      <c r="F49" s="8">
        <f t="shared" si="20"/>
        <v>6259.3926000000001</v>
      </c>
      <c r="G49" s="2">
        <f t="shared" si="21"/>
        <v>13395.100164000001</v>
      </c>
      <c r="H49" s="2">
        <f t="shared" si="22"/>
        <v>93890.888999999996</v>
      </c>
      <c r="I49" s="2">
        <f t="shared" si="23"/>
        <v>797444.64176399994</v>
      </c>
      <c r="J49" s="14"/>
      <c r="K49" s="14"/>
      <c r="L49" s="14"/>
      <c r="M49" s="14"/>
      <c r="N49" s="14"/>
    </row>
    <row r="50" spans="1:14" s="4" customFormat="1" x14ac:dyDescent="0.25">
      <c r="A50" s="40"/>
      <c r="B50" s="52"/>
      <c r="C50" s="6" t="s">
        <v>7</v>
      </c>
      <c r="D50" s="17">
        <v>1498163.4</v>
      </c>
      <c r="E50" s="30">
        <v>57960</v>
      </c>
      <c r="F50" s="8">
        <f t="shared" si="20"/>
        <v>14981.634</v>
      </c>
      <c r="G50" s="2">
        <f t="shared" si="21"/>
        <v>32060.696760000003</v>
      </c>
      <c r="H50" s="2">
        <f t="shared" si="22"/>
        <v>224724.50999999998</v>
      </c>
      <c r="I50" s="2">
        <f t="shared" si="23"/>
        <v>1827890.24076</v>
      </c>
      <c r="J50" s="14"/>
      <c r="K50" s="14"/>
      <c r="L50" s="14"/>
      <c r="M50" s="14"/>
      <c r="N50" s="14"/>
    </row>
    <row r="51" spans="1:14" s="4" customFormat="1" x14ac:dyDescent="0.25">
      <c r="A51" s="40"/>
      <c r="B51" s="52"/>
      <c r="C51" s="6" t="s">
        <v>8</v>
      </c>
      <c r="D51" s="17">
        <v>1108344.5</v>
      </c>
      <c r="E51" s="30">
        <v>57960</v>
      </c>
      <c r="F51" s="8">
        <f t="shared" si="20"/>
        <v>11083.445</v>
      </c>
      <c r="G51" s="2">
        <f t="shared" si="21"/>
        <v>23718.572300000003</v>
      </c>
      <c r="H51" s="2">
        <f t="shared" si="22"/>
        <v>166251.67499999999</v>
      </c>
      <c r="I51" s="2">
        <f t="shared" si="23"/>
        <v>1367358.1923000002</v>
      </c>
      <c r="J51" s="14"/>
      <c r="K51" s="14"/>
      <c r="L51" s="14"/>
      <c r="M51" s="14"/>
      <c r="N51" s="14"/>
    </row>
    <row r="52" spans="1:14" s="4" customFormat="1" x14ac:dyDescent="0.25">
      <c r="A52" s="40"/>
      <c r="B52" s="52"/>
      <c r="C52" s="10" t="s">
        <v>5</v>
      </c>
      <c r="D52" s="17">
        <v>3833408.18</v>
      </c>
      <c r="E52" s="30">
        <f>37930+20117.9</f>
        <v>58047.9</v>
      </c>
      <c r="F52" s="8">
        <f t="shared" si="20"/>
        <v>38334.0818</v>
      </c>
      <c r="G52" s="2">
        <f t="shared" si="21"/>
        <v>82034.935052000015</v>
      </c>
      <c r="H52" s="2">
        <f t="shared" si="22"/>
        <v>575011.22699999996</v>
      </c>
      <c r="I52" s="2">
        <f t="shared" si="23"/>
        <v>4586836.3238519998</v>
      </c>
      <c r="J52" s="14"/>
      <c r="K52" s="14"/>
      <c r="L52" s="14"/>
      <c r="M52" s="14"/>
      <c r="N52" s="14"/>
    </row>
    <row r="53" spans="1:14" s="4" customFormat="1" x14ac:dyDescent="0.25">
      <c r="A53" s="40"/>
      <c r="B53" s="51"/>
      <c r="C53" s="10" t="s">
        <v>4</v>
      </c>
      <c r="D53" s="17"/>
      <c r="E53" s="36"/>
      <c r="F53" s="37"/>
      <c r="G53" s="38"/>
      <c r="H53" s="38"/>
      <c r="I53" s="38"/>
      <c r="J53" s="14"/>
      <c r="K53" s="14"/>
      <c r="L53" s="14"/>
      <c r="M53" s="14"/>
      <c r="N53" s="14"/>
    </row>
    <row r="54" spans="1:14" s="4" customFormat="1" x14ac:dyDescent="0.25">
      <c r="A54" s="35">
        <v>23</v>
      </c>
      <c r="B54" s="32" t="str">
        <f>"г. Череповец, ул. Металлургов, д. 11"</f>
        <v>г. Череповец, ул. Металлургов, д. 11</v>
      </c>
      <c r="C54" s="10" t="s">
        <v>27</v>
      </c>
      <c r="D54" s="12">
        <v>3180955.5</v>
      </c>
      <c r="E54" s="22">
        <v>98191.22</v>
      </c>
      <c r="F54" s="8">
        <f t="shared" si="20"/>
        <v>31809.555</v>
      </c>
      <c r="G54" s="2">
        <f t="shared" si="21"/>
        <v>68072.447700000004</v>
      </c>
      <c r="H54" s="2">
        <f t="shared" si="22"/>
        <v>477143.32499999995</v>
      </c>
      <c r="I54" s="2">
        <f t="shared" si="23"/>
        <v>3856172.0477</v>
      </c>
      <c r="J54" s="14"/>
      <c r="K54" s="14"/>
      <c r="L54" s="14"/>
      <c r="M54" s="14"/>
      <c r="N54" s="14"/>
    </row>
    <row r="55" spans="1:14" s="4" customFormat="1" x14ac:dyDescent="0.25">
      <c r="A55" s="35">
        <v>24</v>
      </c>
      <c r="B55" s="23" t="str">
        <f>"г. Череповец, ул. Металлургов, д. 4а"</f>
        <v>г. Череповец, ул. Металлургов, д. 4а</v>
      </c>
      <c r="C55" s="10" t="s">
        <v>27</v>
      </c>
      <c r="D55" s="12">
        <v>2842703.78</v>
      </c>
      <c r="E55" s="22">
        <v>62264.68</v>
      </c>
      <c r="F55" s="8">
        <f t="shared" si="20"/>
        <v>28427.037799999998</v>
      </c>
      <c r="G55" s="2">
        <f t="shared" si="21"/>
        <v>60833.860892000004</v>
      </c>
      <c r="H55" s="2">
        <f t="shared" si="22"/>
        <v>426405.56699999998</v>
      </c>
      <c r="I55" s="2">
        <f t="shared" si="23"/>
        <v>3420634.925692</v>
      </c>
      <c r="J55" s="14"/>
      <c r="K55" s="14"/>
      <c r="L55" s="14"/>
      <c r="M55" s="14"/>
      <c r="N55" s="14"/>
    </row>
    <row r="56" spans="1:14" s="4" customFormat="1" x14ac:dyDescent="0.25">
      <c r="A56" s="41">
        <v>25</v>
      </c>
      <c r="B56" s="47" t="str">
        <f>"г. Череповец, ул. Металлургов, д. 43"</f>
        <v>г. Череповец, ул. Металлургов, д. 43</v>
      </c>
      <c r="C56" s="10" t="s">
        <v>28</v>
      </c>
      <c r="D56" s="12">
        <v>2964239.06</v>
      </c>
      <c r="E56" s="22">
        <v>78347.19</v>
      </c>
      <c r="F56" s="8">
        <f t="shared" ref="F56:F65" si="24">1%*D56</f>
        <v>29642.390600000002</v>
      </c>
      <c r="G56" s="2">
        <f t="shared" ref="G56:G65" si="25">2.14%*D56</f>
        <v>63434.715884000005</v>
      </c>
      <c r="H56" s="2">
        <f t="shared" ref="H56:H65" si="26">15%*D56</f>
        <v>444635.859</v>
      </c>
      <c r="I56" s="2">
        <f t="shared" ref="I56:I65" si="27">SUM(D56:H56)</f>
        <v>3580299.2154840003</v>
      </c>
      <c r="J56" s="14"/>
      <c r="K56" s="14"/>
      <c r="L56" s="14"/>
      <c r="M56" s="14"/>
      <c r="N56" s="14"/>
    </row>
    <row r="57" spans="1:14" s="4" customFormat="1" x14ac:dyDescent="0.25">
      <c r="A57" s="46"/>
      <c r="B57" s="48"/>
      <c r="C57" s="6" t="s">
        <v>6</v>
      </c>
      <c r="D57" s="17">
        <v>614869.68000000005</v>
      </c>
      <c r="E57" s="30">
        <v>72440</v>
      </c>
      <c r="F57" s="8">
        <f t="shared" si="24"/>
        <v>6148.6968000000006</v>
      </c>
      <c r="G57" s="2">
        <f t="shared" si="25"/>
        <v>13158.211152000002</v>
      </c>
      <c r="H57" s="2">
        <f t="shared" si="26"/>
        <v>92230.452000000005</v>
      </c>
      <c r="I57" s="2">
        <f t="shared" si="27"/>
        <v>798847.03995200014</v>
      </c>
      <c r="J57" s="14"/>
      <c r="K57" s="14"/>
      <c r="L57" s="14"/>
      <c r="M57" s="14"/>
      <c r="N57" s="14"/>
    </row>
    <row r="58" spans="1:14" s="4" customFormat="1" x14ac:dyDescent="0.25">
      <c r="A58" s="46"/>
      <c r="B58" s="48"/>
      <c r="C58" s="6" t="s">
        <v>7</v>
      </c>
      <c r="D58" s="17">
        <v>970331.7</v>
      </c>
      <c r="E58" s="30">
        <f>72440+5907.19</f>
        <v>78347.19</v>
      </c>
      <c r="F58" s="8">
        <f t="shared" si="24"/>
        <v>9703.3169999999991</v>
      </c>
      <c r="G58" s="2">
        <f t="shared" si="25"/>
        <v>20765.098380000003</v>
      </c>
      <c r="H58" s="2">
        <f t="shared" si="26"/>
        <v>145549.75499999998</v>
      </c>
      <c r="I58" s="2">
        <f t="shared" si="27"/>
        <v>1224697.0603799999</v>
      </c>
      <c r="J58" s="14"/>
      <c r="K58" s="14"/>
      <c r="L58" s="14"/>
      <c r="M58" s="14"/>
      <c r="N58" s="14"/>
    </row>
    <row r="59" spans="1:14" s="4" customFormat="1" x14ac:dyDescent="0.25">
      <c r="A59" s="42"/>
      <c r="B59" s="49"/>
      <c r="C59" s="6" t="s">
        <v>8</v>
      </c>
      <c r="D59" s="17">
        <v>376587.56</v>
      </c>
      <c r="E59" s="30">
        <v>72440</v>
      </c>
      <c r="F59" s="8">
        <f t="shared" si="24"/>
        <v>3765.8755999999998</v>
      </c>
      <c r="G59" s="2">
        <f t="shared" si="25"/>
        <v>8058.9737840000007</v>
      </c>
      <c r="H59" s="2">
        <f t="shared" si="26"/>
        <v>56488.133999999998</v>
      </c>
      <c r="I59" s="2">
        <f t="shared" si="27"/>
        <v>517340.54338400002</v>
      </c>
      <c r="J59" s="14"/>
      <c r="K59" s="14"/>
      <c r="L59" s="14"/>
      <c r="M59" s="14"/>
      <c r="N59" s="14"/>
    </row>
    <row r="60" spans="1:14" s="4" customFormat="1" x14ac:dyDescent="0.25">
      <c r="A60" s="40">
        <v>26</v>
      </c>
      <c r="B60" s="47" t="str">
        <f>"г. Череповец, ул. Металлургов, д. 45"</f>
        <v>г. Череповец, ул. Металлургов, д. 45</v>
      </c>
      <c r="C60" s="6" t="s">
        <v>4</v>
      </c>
      <c r="D60" s="16">
        <v>5296080.72</v>
      </c>
      <c r="E60" s="30">
        <v>89928.33</v>
      </c>
      <c r="F60" s="8">
        <f t="shared" si="24"/>
        <v>52960.807199999996</v>
      </c>
      <c r="G60" s="2">
        <f t="shared" si="25"/>
        <v>113336.127408</v>
      </c>
      <c r="H60" s="2">
        <f t="shared" si="26"/>
        <v>794412.10799999989</v>
      </c>
      <c r="I60" s="2">
        <f t="shared" si="27"/>
        <v>6346718.0926079992</v>
      </c>
      <c r="J60" s="14"/>
      <c r="K60" s="14"/>
      <c r="L60" s="14"/>
      <c r="M60" s="14"/>
      <c r="N60" s="14"/>
    </row>
    <row r="61" spans="1:14" s="4" customFormat="1" x14ac:dyDescent="0.25">
      <c r="A61" s="40"/>
      <c r="B61" s="48"/>
      <c r="C61" s="10" t="s">
        <v>27</v>
      </c>
      <c r="D61" s="12">
        <v>4123289.34</v>
      </c>
      <c r="E61" s="22">
        <v>84490.47</v>
      </c>
      <c r="F61" s="8">
        <f t="shared" si="24"/>
        <v>41232.893400000001</v>
      </c>
      <c r="G61" s="2">
        <f t="shared" si="25"/>
        <v>88238.391876000009</v>
      </c>
      <c r="H61" s="2">
        <f t="shared" si="26"/>
        <v>618493.40099999995</v>
      </c>
      <c r="I61" s="2">
        <f t="shared" si="27"/>
        <v>4955744.4962759996</v>
      </c>
      <c r="J61" s="14"/>
      <c r="K61" s="14"/>
      <c r="L61" s="14"/>
      <c r="M61" s="14"/>
      <c r="N61" s="14"/>
    </row>
    <row r="62" spans="1:14" s="4" customFormat="1" x14ac:dyDescent="0.25">
      <c r="A62" s="40"/>
      <c r="B62" s="48"/>
      <c r="C62" s="6" t="s">
        <v>6</v>
      </c>
      <c r="D62" s="17">
        <v>845516.02</v>
      </c>
      <c r="E62" s="30">
        <v>76560</v>
      </c>
      <c r="F62" s="8">
        <f t="shared" si="24"/>
        <v>8455.1602000000003</v>
      </c>
      <c r="G62" s="2">
        <f t="shared" si="25"/>
        <v>18094.042828000001</v>
      </c>
      <c r="H62" s="2">
        <f t="shared" si="26"/>
        <v>126827.40299999999</v>
      </c>
      <c r="I62" s="2">
        <f t="shared" si="27"/>
        <v>1075452.6260280001</v>
      </c>
      <c r="J62" s="14"/>
      <c r="K62" s="14"/>
      <c r="L62" s="14"/>
      <c r="M62" s="14"/>
      <c r="N62" s="14"/>
    </row>
    <row r="63" spans="1:14" s="4" customFormat="1" x14ac:dyDescent="0.25">
      <c r="A63" s="40"/>
      <c r="B63" s="48"/>
      <c r="C63" s="6" t="s">
        <v>7</v>
      </c>
      <c r="D63" s="17">
        <v>1048282.5</v>
      </c>
      <c r="E63" s="30">
        <f>76560+7930.47</f>
        <v>84490.47</v>
      </c>
      <c r="F63" s="8">
        <f t="shared" si="24"/>
        <v>10482.825000000001</v>
      </c>
      <c r="G63" s="2">
        <f t="shared" si="25"/>
        <v>22433.245500000001</v>
      </c>
      <c r="H63" s="2">
        <f t="shared" si="26"/>
        <v>157242.375</v>
      </c>
      <c r="I63" s="2">
        <f t="shared" si="27"/>
        <v>1322931.4154999999</v>
      </c>
      <c r="J63" s="14"/>
      <c r="K63" s="14"/>
      <c r="L63" s="14"/>
      <c r="M63" s="14"/>
      <c r="N63" s="14"/>
    </row>
    <row r="64" spans="1:14" s="4" customFormat="1" x14ac:dyDescent="0.25">
      <c r="A64" s="40"/>
      <c r="B64" s="49"/>
      <c r="C64" s="6" t="s">
        <v>8</v>
      </c>
      <c r="D64" s="17">
        <v>585806.28</v>
      </c>
      <c r="E64" s="30">
        <v>76560</v>
      </c>
      <c r="F64" s="8">
        <f t="shared" si="24"/>
        <v>5858.0628000000006</v>
      </c>
      <c r="G64" s="2">
        <f t="shared" si="25"/>
        <v>12536.254392000003</v>
      </c>
      <c r="H64" s="2">
        <f t="shared" si="26"/>
        <v>87870.941999999995</v>
      </c>
      <c r="I64" s="2">
        <f t="shared" si="27"/>
        <v>768631.53919200005</v>
      </c>
      <c r="J64" s="14"/>
      <c r="K64" s="14"/>
      <c r="L64" s="14"/>
      <c r="M64" s="14"/>
      <c r="N64" s="14"/>
    </row>
    <row r="65" spans="1:14" s="4" customFormat="1" x14ac:dyDescent="0.25">
      <c r="A65" s="35">
        <v>27</v>
      </c>
      <c r="B65" s="29" t="str">
        <f>"г. Череповец, ул. Металлургов, д. 49"</f>
        <v>г. Череповец, ул. Металлургов, д. 49</v>
      </c>
      <c r="C65" s="6" t="s">
        <v>4</v>
      </c>
      <c r="D65" s="16">
        <v>5092087.04</v>
      </c>
      <c r="E65" s="30">
        <f>62670+4422.3</f>
        <v>67092.3</v>
      </c>
      <c r="F65" s="8">
        <f t="shared" si="24"/>
        <v>50920.8704</v>
      </c>
      <c r="G65" s="2">
        <f t="shared" si="25"/>
        <v>108970.66265600001</v>
      </c>
      <c r="H65" s="2">
        <f t="shared" si="26"/>
        <v>763813.05599999998</v>
      </c>
      <c r="I65" s="2">
        <f t="shared" si="27"/>
        <v>6082883.929056</v>
      </c>
      <c r="J65" s="14"/>
      <c r="K65" s="14"/>
      <c r="L65" s="14"/>
      <c r="M65" s="14"/>
      <c r="N65" s="14"/>
    </row>
    <row r="66" spans="1:14" s="4" customFormat="1" x14ac:dyDescent="0.25">
      <c r="A66" s="35">
        <v>28</v>
      </c>
      <c r="B66" s="32" t="str">
        <f>"г. Череповец, ул. Набережная, д. 29б"</f>
        <v>г. Череповец, ул. Набережная, д. 29б</v>
      </c>
      <c r="C66" s="6" t="s">
        <v>4</v>
      </c>
      <c r="D66" s="16"/>
      <c r="E66" s="30"/>
      <c r="F66" s="8"/>
      <c r="G66" s="2"/>
      <c r="H66" s="2"/>
      <c r="I66" s="2"/>
      <c r="J66" s="14"/>
      <c r="K66" s="14"/>
      <c r="L66" s="14"/>
      <c r="M66" s="14"/>
      <c r="N66" s="14"/>
    </row>
    <row r="67" spans="1:14" s="4" customFormat="1" x14ac:dyDescent="0.25">
      <c r="A67" s="40">
        <v>29</v>
      </c>
      <c r="B67" s="47" t="str">
        <f>"г. Череповец, ул. Новая Школьная, д. 1"</f>
        <v>г. Череповец, ул. Новая Школьная, д. 1</v>
      </c>
      <c r="C67" s="6" t="s">
        <v>10</v>
      </c>
      <c r="D67" s="16">
        <v>1033397.98</v>
      </c>
      <c r="E67" s="12">
        <f>6225.78+60640</f>
        <v>66865.78</v>
      </c>
      <c r="F67" s="8">
        <f t="shared" ref="F67:F93" si="28">1%*D67</f>
        <v>10333.979799999999</v>
      </c>
      <c r="G67" s="2">
        <f t="shared" ref="G67:G93" si="29">2.14%*D67</f>
        <v>22114.716772000003</v>
      </c>
      <c r="H67" s="2">
        <f t="shared" ref="H67:H93" si="30">15%*D67</f>
        <v>155009.69699999999</v>
      </c>
      <c r="I67" s="2">
        <f t="shared" ref="I67:I93" si="31">SUM(D67:H67)</f>
        <v>1287722.1535720001</v>
      </c>
      <c r="J67" s="14"/>
      <c r="K67" s="14"/>
      <c r="L67" s="14"/>
      <c r="M67" s="14"/>
      <c r="N67" s="14"/>
    </row>
    <row r="68" spans="1:14" s="4" customFormat="1" x14ac:dyDescent="0.25">
      <c r="A68" s="40"/>
      <c r="B68" s="48"/>
      <c r="C68" s="6" t="s">
        <v>6</v>
      </c>
      <c r="D68" s="17">
        <v>732929.86</v>
      </c>
      <c r="E68" s="30">
        <v>74200</v>
      </c>
      <c r="F68" s="8">
        <f t="shared" si="28"/>
        <v>7329.2986000000001</v>
      </c>
      <c r="G68" s="2">
        <f t="shared" si="29"/>
        <v>15684.699004000002</v>
      </c>
      <c r="H68" s="2">
        <f t="shared" si="30"/>
        <v>109939.47899999999</v>
      </c>
      <c r="I68" s="2">
        <f t="shared" si="31"/>
        <v>940083.33660400007</v>
      </c>
      <c r="J68" s="14"/>
      <c r="K68" s="14"/>
      <c r="L68" s="14"/>
      <c r="M68" s="14"/>
      <c r="N68" s="14"/>
    </row>
    <row r="69" spans="1:14" s="4" customFormat="1" x14ac:dyDescent="0.25">
      <c r="A69" s="40"/>
      <c r="B69" s="48"/>
      <c r="C69" s="6" t="s">
        <v>7</v>
      </c>
      <c r="D69" s="17">
        <v>2275141.48</v>
      </c>
      <c r="E69" s="30">
        <f>74200+6765.3</f>
        <v>80965.3</v>
      </c>
      <c r="F69" s="8">
        <f t="shared" si="28"/>
        <v>22751.414799999999</v>
      </c>
      <c r="G69" s="2">
        <f t="shared" si="29"/>
        <v>48688.027672000004</v>
      </c>
      <c r="H69" s="2">
        <f t="shared" si="30"/>
        <v>341271.22200000001</v>
      </c>
      <c r="I69" s="2">
        <f t="shared" si="31"/>
        <v>2768817.444472</v>
      </c>
      <c r="J69" s="14"/>
      <c r="K69" s="14"/>
      <c r="L69" s="14"/>
      <c r="M69" s="14"/>
      <c r="N69" s="14"/>
    </row>
    <row r="70" spans="1:14" s="4" customFormat="1" x14ac:dyDescent="0.25">
      <c r="A70" s="40"/>
      <c r="B70" s="49"/>
      <c r="C70" s="6" t="s">
        <v>8</v>
      </c>
      <c r="D70" s="17">
        <v>631369.62</v>
      </c>
      <c r="E70" s="30">
        <v>74200</v>
      </c>
      <c r="F70" s="8">
        <f t="shared" si="28"/>
        <v>6313.6962000000003</v>
      </c>
      <c r="G70" s="2">
        <f t="shared" si="29"/>
        <v>13511.309868000002</v>
      </c>
      <c r="H70" s="2">
        <f t="shared" si="30"/>
        <v>94705.442999999999</v>
      </c>
      <c r="I70" s="2">
        <f t="shared" si="31"/>
        <v>820100.06906799995</v>
      </c>
      <c r="J70" s="14"/>
      <c r="K70" s="14"/>
      <c r="L70" s="14"/>
      <c r="M70" s="14"/>
      <c r="N70" s="14"/>
    </row>
    <row r="71" spans="1:14" s="4" customFormat="1" x14ac:dyDescent="0.25">
      <c r="A71" s="40">
        <v>30</v>
      </c>
      <c r="B71" s="47" t="str">
        <f>"г. Череповец, ул. Новая Школьная, д. 3"</f>
        <v>г. Череповец, ул. Новая Школьная, д. 3</v>
      </c>
      <c r="C71" s="6" t="s">
        <v>6</v>
      </c>
      <c r="D71" s="17">
        <v>719893.22</v>
      </c>
      <c r="E71" s="30">
        <v>74710</v>
      </c>
      <c r="F71" s="8">
        <f t="shared" si="28"/>
        <v>7198.9322000000002</v>
      </c>
      <c r="G71" s="2">
        <f t="shared" si="29"/>
        <v>15405.714908000002</v>
      </c>
      <c r="H71" s="2">
        <f t="shared" si="30"/>
        <v>107983.98299999999</v>
      </c>
      <c r="I71" s="2">
        <f t="shared" si="31"/>
        <v>925191.85010799998</v>
      </c>
      <c r="J71" s="14"/>
      <c r="K71" s="14"/>
      <c r="L71" s="14"/>
      <c r="M71" s="14"/>
      <c r="N71" s="14"/>
    </row>
    <row r="72" spans="1:14" s="4" customFormat="1" x14ac:dyDescent="0.25">
      <c r="A72" s="40"/>
      <c r="B72" s="48"/>
      <c r="C72" s="6" t="s">
        <v>7</v>
      </c>
      <c r="D72" s="17">
        <v>2260005.62</v>
      </c>
      <c r="E72" s="30">
        <f>74710+7030.68</f>
        <v>81740.679999999993</v>
      </c>
      <c r="F72" s="8">
        <f t="shared" si="28"/>
        <v>22600.056200000003</v>
      </c>
      <c r="G72" s="2">
        <f t="shared" si="29"/>
        <v>48364.120268000006</v>
      </c>
      <c r="H72" s="2">
        <f t="shared" si="30"/>
        <v>339000.84299999999</v>
      </c>
      <c r="I72" s="2">
        <f t="shared" si="31"/>
        <v>2751711.319468</v>
      </c>
      <c r="J72" s="14"/>
      <c r="K72" s="14"/>
      <c r="L72" s="14"/>
      <c r="M72" s="14"/>
      <c r="N72" s="14"/>
    </row>
    <row r="73" spans="1:14" s="4" customFormat="1" x14ac:dyDescent="0.25">
      <c r="A73" s="40"/>
      <c r="B73" s="49"/>
      <c r="C73" s="6" t="s">
        <v>8</v>
      </c>
      <c r="D73" s="17">
        <v>631832.18000000005</v>
      </c>
      <c r="E73" s="30">
        <v>74710</v>
      </c>
      <c r="F73" s="8">
        <f t="shared" si="28"/>
        <v>6318.3218000000006</v>
      </c>
      <c r="G73" s="2">
        <f t="shared" si="29"/>
        <v>13521.208652000003</v>
      </c>
      <c r="H73" s="2">
        <f t="shared" si="30"/>
        <v>94774.827000000005</v>
      </c>
      <c r="I73" s="2">
        <f t="shared" si="31"/>
        <v>821156.53745200019</v>
      </c>
      <c r="J73" s="14"/>
      <c r="K73" s="14"/>
      <c r="L73" s="14"/>
      <c r="M73" s="14"/>
      <c r="N73" s="14"/>
    </row>
    <row r="74" spans="1:14" s="4" customFormat="1" x14ac:dyDescent="0.25">
      <c r="A74" s="40">
        <v>31</v>
      </c>
      <c r="B74" s="47" t="str">
        <f>"г. Череповец, ул. Олимпийская, д. 7"</f>
        <v>г. Череповец, ул. Олимпийская, д. 7</v>
      </c>
      <c r="C74" s="6" t="s">
        <v>12</v>
      </c>
      <c r="D74" s="16">
        <v>717044.7</v>
      </c>
      <c r="E74" s="12">
        <v>6257</v>
      </c>
      <c r="F74" s="8">
        <f t="shared" si="28"/>
        <v>7170.4470000000001</v>
      </c>
      <c r="G74" s="2">
        <f t="shared" si="29"/>
        <v>15344.756580000001</v>
      </c>
      <c r="H74" s="2">
        <f t="shared" si="30"/>
        <v>107556.70499999999</v>
      </c>
      <c r="I74" s="2">
        <f t="shared" si="31"/>
        <v>853373.60858</v>
      </c>
      <c r="J74" s="14"/>
      <c r="K74" s="14"/>
      <c r="L74" s="14"/>
      <c r="M74" s="14"/>
      <c r="N74" s="14"/>
    </row>
    <row r="75" spans="1:14" s="4" customFormat="1" x14ac:dyDescent="0.25">
      <c r="A75" s="40"/>
      <c r="B75" s="49"/>
      <c r="C75" s="6" t="s">
        <v>13</v>
      </c>
      <c r="D75" s="16">
        <v>695978.16</v>
      </c>
      <c r="E75" s="12">
        <v>6220</v>
      </c>
      <c r="F75" s="8">
        <f t="shared" si="28"/>
        <v>6959.7816000000003</v>
      </c>
      <c r="G75" s="2">
        <f t="shared" si="29"/>
        <v>14893.932624000003</v>
      </c>
      <c r="H75" s="2">
        <f t="shared" si="30"/>
        <v>104396.724</v>
      </c>
      <c r="I75" s="2">
        <f t="shared" si="31"/>
        <v>828448.59822400007</v>
      </c>
      <c r="J75" s="14"/>
      <c r="K75" s="14"/>
      <c r="L75" s="14"/>
      <c r="M75" s="14"/>
      <c r="N75" s="14"/>
    </row>
    <row r="76" spans="1:14" s="4" customFormat="1" x14ac:dyDescent="0.25">
      <c r="A76" s="40">
        <v>32</v>
      </c>
      <c r="B76" s="47" t="str">
        <f>"г. Череповец, ул. Олимпийская, д. 9"</f>
        <v>г. Череповец, ул. Олимпийская, д. 9</v>
      </c>
      <c r="C76" s="6" t="s">
        <v>6</v>
      </c>
      <c r="D76" s="17">
        <v>1542639.96</v>
      </c>
      <c r="E76" s="30">
        <v>135300</v>
      </c>
      <c r="F76" s="8">
        <f t="shared" si="28"/>
        <v>15426.399600000001</v>
      </c>
      <c r="G76" s="2">
        <f t="shared" si="29"/>
        <v>33012.495144</v>
      </c>
      <c r="H76" s="2">
        <f t="shared" si="30"/>
        <v>231395.99399999998</v>
      </c>
      <c r="I76" s="2">
        <f t="shared" si="31"/>
        <v>1957774.8487439998</v>
      </c>
      <c r="J76" s="14"/>
      <c r="K76" s="14"/>
      <c r="L76" s="14"/>
      <c r="M76" s="14"/>
      <c r="N76" s="14"/>
    </row>
    <row r="77" spans="1:14" s="4" customFormat="1" x14ac:dyDescent="0.25">
      <c r="A77" s="40"/>
      <c r="B77" s="48"/>
      <c r="C77" s="6" t="s">
        <v>7</v>
      </c>
      <c r="D77" s="17">
        <v>3274018.56</v>
      </c>
      <c r="E77" s="30">
        <f>135300+22293.25</f>
        <v>157593.25</v>
      </c>
      <c r="F77" s="8">
        <f t="shared" si="28"/>
        <v>32740.185600000001</v>
      </c>
      <c r="G77" s="2">
        <f t="shared" si="29"/>
        <v>70063.997184000007</v>
      </c>
      <c r="H77" s="2">
        <f t="shared" si="30"/>
        <v>491102.78399999999</v>
      </c>
      <c r="I77" s="2">
        <f t="shared" si="31"/>
        <v>4025518.776784</v>
      </c>
      <c r="J77" s="14"/>
      <c r="K77" s="14"/>
      <c r="L77" s="14"/>
      <c r="M77" s="14"/>
      <c r="N77" s="14"/>
    </row>
    <row r="78" spans="1:14" s="4" customFormat="1" x14ac:dyDescent="0.25">
      <c r="A78" s="40"/>
      <c r="B78" s="49"/>
      <c r="C78" s="6" t="s">
        <v>8</v>
      </c>
      <c r="D78" s="17">
        <v>1786720.6</v>
      </c>
      <c r="E78" s="30">
        <v>135300</v>
      </c>
      <c r="F78" s="8">
        <f t="shared" si="28"/>
        <v>17867.206000000002</v>
      </c>
      <c r="G78" s="2">
        <f t="shared" si="29"/>
        <v>38235.820840000008</v>
      </c>
      <c r="H78" s="2">
        <f t="shared" si="30"/>
        <v>268008.09000000003</v>
      </c>
      <c r="I78" s="2">
        <f t="shared" si="31"/>
        <v>2246131.7168399999</v>
      </c>
      <c r="J78" s="14"/>
      <c r="K78" s="14"/>
      <c r="L78" s="14"/>
      <c r="M78" s="14"/>
      <c r="N78" s="14"/>
    </row>
    <row r="79" spans="1:14" s="4" customFormat="1" x14ac:dyDescent="0.25">
      <c r="A79" s="35">
        <v>33</v>
      </c>
      <c r="B79" s="32" t="str">
        <f>"г. Череповец, ул. К.Маркса, д. 78"</f>
        <v>г. Череповец, ул. К.Маркса, д. 78</v>
      </c>
      <c r="C79" s="6" t="s">
        <v>4</v>
      </c>
      <c r="D79" s="16">
        <v>1796900.46</v>
      </c>
      <c r="E79" s="30">
        <v>31828.62</v>
      </c>
      <c r="F79" s="8">
        <f t="shared" si="28"/>
        <v>17969.0046</v>
      </c>
      <c r="G79" s="2">
        <f t="shared" si="29"/>
        <v>38453.669844000004</v>
      </c>
      <c r="H79" s="2">
        <f t="shared" si="30"/>
        <v>269535.06899999996</v>
      </c>
      <c r="I79" s="2">
        <f t="shared" si="31"/>
        <v>2154686.823444</v>
      </c>
      <c r="J79" s="14"/>
      <c r="K79" s="54"/>
      <c r="L79" s="14"/>
      <c r="M79" s="14"/>
      <c r="N79" s="14"/>
    </row>
    <row r="80" spans="1:14" s="4" customFormat="1" x14ac:dyDescent="0.25">
      <c r="A80" s="35">
        <v>34</v>
      </c>
      <c r="B80" s="32" t="s">
        <v>17</v>
      </c>
      <c r="C80" s="6" t="s">
        <v>10</v>
      </c>
      <c r="D80" s="17">
        <v>4600174.54</v>
      </c>
      <c r="E80" s="30">
        <v>150828.51999999999</v>
      </c>
      <c r="F80" s="8">
        <f t="shared" si="28"/>
        <v>46001.7454</v>
      </c>
      <c r="G80" s="2">
        <f t="shared" si="29"/>
        <v>98443.73515600001</v>
      </c>
      <c r="H80" s="2">
        <f t="shared" si="30"/>
        <v>690026.18099999998</v>
      </c>
      <c r="I80" s="2">
        <f t="shared" si="31"/>
        <v>5585474.7215559995</v>
      </c>
      <c r="J80" s="14"/>
      <c r="K80" s="55"/>
      <c r="L80" s="14"/>
      <c r="M80" s="14"/>
      <c r="N80" s="14"/>
    </row>
    <row r="81" spans="1:14" s="4" customFormat="1" x14ac:dyDescent="0.25">
      <c r="A81" s="40">
        <v>35</v>
      </c>
      <c r="B81" s="47" t="str">
        <f>"г. Череповец, ул. Комсомольская, д. 21"</f>
        <v>г. Череповец, ул. Комсомольская, д. 21</v>
      </c>
      <c r="C81" s="6" t="s">
        <v>6</v>
      </c>
      <c r="D81" s="16">
        <v>595558.98</v>
      </c>
      <c r="E81" s="30">
        <v>73540</v>
      </c>
      <c r="F81" s="8">
        <f t="shared" si="28"/>
        <v>5955.5897999999997</v>
      </c>
      <c r="G81" s="2">
        <f t="shared" si="29"/>
        <v>12744.962172000001</v>
      </c>
      <c r="H81" s="2">
        <f t="shared" si="30"/>
        <v>89333.846999999994</v>
      </c>
      <c r="I81" s="2">
        <f t="shared" si="31"/>
        <v>777133.37897199986</v>
      </c>
      <c r="J81" s="14"/>
      <c r="K81" s="55"/>
      <c r="L81" s="14"/>
      <c r="M81" s="14"/>
      <c r="N81" s="14"/>
    </row>
    <row r="82" spans="1:14" s="4" customFormat="1" x14ac:dyDescent="0.25">
      <c r="A82" s="40"/>
      <c r="B82" s="48"/>
      <c r="C82" s="6" t="s">
        <v>7</v>
      </c>
      <c r="D82" s="16">
        <v>831956.64</v>
      </c>
      <c r="E82" s="30">
        <f>73540+5936.36</f>
        <v>79476.36</v>
      </c>
      <c r="F82" s="8">
        <f t="shared" si="28"/>
        <v>8319.5663999999997</v>
      </c>
      <c r="G82" s="2">
        <f t="shared" si="29"/>
        <v>17803.872096000003</v>
      </c>
      <c r="H82" s="2">
        <f t="shared" si="30"/>
        <v>124793.496</v>
      </c>
      <c r="I82" s="2">
        <f t="shared" si="31"/>
        <v>1062349.9344959999</v>
      </c>
      <c r="J82" s="14"/>
      <c r="K82" s="55"/>
      <c r="L82" s="14"/>
      <c r="M82" s="14"/>
      <c r="N82" s="14"/>
    </row>
    <row r="83" spans="1:14" s="4" customFormat="1" x14ac:dyDescent="0.25">
      <c r="A83" s="40"/>
      <c r="B83" s="49"/>
      <c r="C83" s="6" t="s">
        <v>8</v>
      </c>
      <c r="D83" s="16">
        <v>759724.12</v>
      </c>
      <c r="E83" s="30">
        <v>73540</v>
      </c>
      <c r="F83" s="8">
        <f t="shared" si="28"/>
        <v>7597.2412000000004</v>
      </c>
      <c r="G83" s="2">
        <f t="shared" si="29"/>
        <v>16258.096168000002</v>
      </c>
      <c r="H83" s="2">
        <f t="shared" si="30"/>
        <v>113958.618</v>
      </c>
      <c r="I83" s="2">
        <f t="shared" si="31"/>
        <v>971078.07536800008</v>
      </c>
      <c r="J83" s="14"/>
      <c r="K83" s="55"/>
      <c r="L83" s="14"/>
      <c r="M83" s="14"/>
      <c r="N83" s="14"/>
    </row>
    <row r="84" spans="1:14" s="4" customFormat="1" x14ac:dyDescent="0.25">
      <c r="A84" s="34">
        <v>36</v>
      </c>
      <c r="B84" s="32" t="str">
        <f>"г. Череповец, ул. Тимохина, д. 10"</f>
        <v>г. Череповец, ул. Тимохина, д. 10</v>
      </c>
      <c r="C84" s="6" t="s">
        <v>4</v>
      </c>
      <c r="D84" s="18">
        <v>5218514.5999999996</v>
      </c>
      <c r="E84" s="30">
        <v>170477.78</v>
      </c>
      <c r="F84" s="8">
        <f>1%*D84</f>
        <v>52185.146000000001</v>
      </c>
      <c r="G84" s="2">
        <f>2.14%*D84</f>
        <v>111676.21244</v>
      </c>
      <c r="H84" s="2">
        <f>15%*D84</f>
        <v>782777.19</v>
      </c>
      <c r="I84" s="2">
        <f>SUM(D84:H84)</f>
        <v>6335630.928439999</v>
      </c>
      <c r="J84" s="14"/>
      <c r="K84" s="14"/>
      <c r="L84" s="14"/>
      <c r="M84" s="14"/>
      <c r="N84" s="14"/>
    </row>
    <row r="85" spans="1:14" s="4" customFormat="1" x14ac:dyDescent="0.25">
      <c r="A85" s="35">
        <v>37</v>
      </c>
      <c r="B85" s="32" t="str">
        <f>"г. Череповец, ул. Устюженская, д. 26"</f>
        <v>г. Череповец, ул. Устюженская, д. 26</v>
      </c>
      <c r="C85" s="6" t="s">
        <v>10</v>
      </c>
      <c r="D85" s="16">
        <v>1904038.56</v>
      </c>
      <c r="E85" s="30">
        <v>76086.27</v>
      </c>
      <c r="F85" s="8">
        <f t="shared" si="28"/>
        <v>19040.385600000001</v>
      </c>
      <c r="G85" s="2">
        <f t="shared" si="29"/>
        <v>40746.425184000007</v>
      </c>
      <c r="H85" s="2">
        <f t="shared" si="30"/>
        <v>285605.78399999999</v>
      </c>
      <c r="I85" s="2">
        <f t="shared" si="31"/>
        <v>2325517.424784</v>
      </c>
      <c r="J85" s="14"/>
      <c r="K85" s="14"/>
      <c r="L85" s="14"/>
      <c r="M85" s="14"/>
      <c r="N85" s="14"/>
    </row>
    <row r="86" spans="1:14" s="4" customFormat="1" x14ac:dyDescent="0.25">
      <c r="A86" s="40">
        <v>38</v>
      </c>
      <c r="B86" s="47" t="str">
        <f>"г. Череповец, ул. Центральная, д. 13"</f>
        <v>г. Череповец, ул. Центральная, д. 13</v>
      </c>
      <c r="C86" s="6" t="s">
        <v>10</v>
      </c>
      <c r="D86" s="16">
        <v>1202080.1599999999</v>
      </c>
      <c r="E86" s="12">
        <v>60880</v>
      </c>
      <c r="F86" s="8">
        <f t="shared" si="28"/>
        <v>12020.801599999999</v>
      </c>
      <c r="G86" s="2">
        <f t="shared" si="29"/>
        <v>25724.515424000001</v>
      </c>
      <c r="H86" s="2">
        <f t="shared" si="30"/>
        <v>180312.02399999998</v>
      </c>
      <c r="I86" s="2">
        <f t="shared" si="31"/>
        <v>1481017.5010239999</v>
      </c>
      <c r="J86" s="14"/>
      <c r="K86" s="14"/>
      <c r="L86" s="14"/>
      <c r="M86" s="14"/>
      <c r="N86" s="14"/>
    </row>
    <row r="87" spans="1:14" s="4" customFormat="1" x14ac:dyDescent="0.25">
      <c r="A87" s="40"/>
      <c r="B87" s="49"/>
      <c r="C87" s="6" t="s">
        <v>4</v>
      </c>
      <c r="D87" s="16">
        <v>3231736.8</v>
      </c>
      <c r="E87" s="12">
        <f>82530+10469.81</f>
        <v>92999.81</v>
      </c>
      <c r="F87" s="8">
        <f t="shared" si="28"/>
        <v>32317.367999999999</v>
      </c>
      <c r="G87" s="2">
        <f t="shared" si="29"/>
        <v>69159.167520000003</v>
      </c>
      <c r="H87" s="2">
        <f t="shared" si="30"/>
        <v>484760.51999999996</v>
      </c>
      <c r="I87" s="2">
        <f t="shared" si="31"/>
        <v>3910973.6655199998</v>
      </c>
      <c r="J87" s="14"/>
      <c r="K87" s="14"/>
      <c r="L87" s="14"/>
      <c r="M87" s="14"/>
      <c r="N87" s="14"/>
    </row>
    <row r="88" spans="1:14" s="4" customFormat="1" x14ac:dyDescent="0.25">
      <c r="A88" s="35">
        <v>39</v>
      </c>
      <c r="B88" s="32" t="str">
        <f>"г. Череповец, ул. Центральная, д. 17"</f>
        <v>г. Череповец, ул. Центральная, д. 17</v>
      </c>
      <c r="C88" s="6" t="s">
        <v>4</v>
      </c>
      <c r="D88" s="16">
        <v>3161492.58</v>
      </c>
      <c r="E88" s="30">
        <v>85868.61</v>
      </c>
      <c r="F88" s="8">
        <f t="shared" si="28"/>
        <v>31614.925800000001</v>
      </c>
      <c r="G88" s="2">
        <f t="shared" si="29"/>
        <v>67655.941212000005</v>
      </c>
      <c r="H88" s="2">
        <f t="shared" si="30"/>
        <v>474223.88699999999</v>
      </c>
      <c r="I88" s="2">
        <f t="shared" si="31"/>
        <v>3820855.9440119998</v>
      </c>
      <c r="J88" s="14"/>
      <c r="K88" s="14"/>
      <c r="L88" s="14"/>
      <c r="M88" s="14"/>
      <c r="N88" s="14"/>
    </row>
    <row r="89" spans="1:14" s="4" customFormat="1" x14ac:dyDescent="0.25">
      <c r="A89" s="40">
        <v>40</v>
      </c>
      <c r="B89" s="47" t="str">
        <f>"г. Череповец, ул. Центральная, д. 9"</f>
        <v>г. Череповец, ул. Центральная, д. 9</v>
      </c>
      <c r="C89" s="6" t="s">
        <v>9</v>
      </c>
      <c r="D89" s="16">
        <v>1501020.18</v>
      </c>
      <c r="E89" s="12">
        <v>25480</v>
      </c>
      <c r="F89" s="8">
        <f t="shared" si="28"/>
        <v>15010.201799999999</v>
      </c>
      <c r="G89" s="2">
        <f t="shared" si="29"/>
        <v>32121.831852000003</v>
      </c>
      <c r="H89" s="2">
        <f t="shared" si="30"/>
        <v>225153.02699999997</v>
      </c>
      <c r="I89" s="2">
        <f t="shared" si="31"/>
        <v>1798785.2406519998</v>
      </c>
      <c r="J89" s="14"/>
      <c r="K89" s="14"/>
      <c r="L89" s="14"/>
      <c r="M89" s="14"/>
      <c r="N89" s="14"/>
    </row>
    <row r="90" spans="1:14" s="4" customFormat="1" x14ac:dyDescent="0.25">
      <c r="A90" s="40"/>
      <c r="B90" s="48"/>
      <c r="C90" s="6" t="s">
        <v>4</v>
      </c>
      <c r="D90" s="16">
        <v>2386324.62</v>
      </c>
      <c r="E90" s="12">
        <f>28250+10254.01</f>
        <v>38504.01</v>
      </c>
      <c r="F90" s="8">
        <f t="shared" si="28"/>
        <v>23863.246200000001</v>
      </c>
      <c r="G90" s="2">
        <f t="shared" si="29"/>
        <v>51067.346868000008</v>
      </c>
      <c r="H90" s="2">
        <f t="shared" si="30"/>
        <v>357948.69300000003</v>
      </c>
      <c r="I90" s="2">
        <f t="shared" si="31"/>
        <v>2857707.9160679998</v>
      </c>
      <c r="J90" s="14"/>
      <c r="K90" s="14"/>
      <c r="L90" s="14"/>
      <c r="M90" s="14"/>
      <c r="N90" s="14"/>
    </row>
    <row r="91" spans="1:14" s="4" customFormat="1" x14ac:dyDescent="0.25">
      <c r="A91" s="40"/>
      <c r="B91" s="49"/>
      <c r="C91" s="6" t="s">
        <v>10</v>
      </c>
      <c r="D91" s="17">
        <v>301624.52</v>
      </c>
      <c r="E91" s="30">
        <v>29688.18</v>
      </c>
      <c r="F91" s="8">
        <f t="shared" si="28"/>
        <v>3016.2452000000003</v>
      </c>
      <c r="G91" s="2">
        <f t="shared" si="29"/>
        <v>6454.764728000001</v>
      </c>
      <c r="H91" s="2">
        <f t="shared" si="30"/>
        <v>45243.678</v>
      </c>
      <c r="I91" s="2">
        <f t="shared" si="31"/>
        <v>386027.38792800001</v>
      </c>
      <c r="J91" s="14"/>
      <c r="K91" s="14"/>
      <c r="L91" s="14"/>
      <c r="M91" s="14"/>
      <c r="N91" s="14"/>
    </row>
    <row r="92" spans="1:14" s="4" customFormat="1" x14ac:dyDescent="0.25">
      <c r="A92" s="35">
        <v>41</v>
      </c>
      <c r="B92" s="32" t="str">
        <f>"г. Череповец, ул. Чкалова, д. 20"</f>
        <v>г. Череповец, ул. Чкалова, д. 20</v>
      </c>
      <c r="C92" s="6" t="s">
        <v>9</v>
      </c>
      <c r="D92" s="17">
        <v>2693150.58</v>
      </c>
      <c r="E92" s="30">
        <v>78144.69</v>
      </c>
      <c r="F92" s="8">
        <f t="shared" si="28"/>
        <v>26931.505800000003</v>
      </c>
      <c r="G92" s="2">
        <f t="shared" si="29"/>
        <v>57633.422412000007</v>
      </c>
      <c r="H92" s="2">
        <f t="shared" si="30"/>
        <v>403972.587</v>
      </c>
      <c r="I92" s="2">
        <f t="shared" si="31"/>
        <v>3259832.7852119999</v>
      </c>
      <c r="J92" s="14"/>
      <c r="K92" s="14"/>
      <c r="L92" s="14"/>
      <c r="M92" s="14"/>
      <c r="N92" s="14"/>
    </row>
    <row r="93" spans="1:14" s="4" customFormat="1" x14ac:dyDescent="0.25">
      <c r="A93" s="35">
        <v>42</v>
      </c>
      <c r="B93" s="32" t="str">
        <f>"г. Череповец, ул. Чкалова, д. 24"</f>
        <v>г. Череповец, ул. Чкалова, д. 24</v>
      </c>
      <c r="C93" s="6" t="s">
        <v>10</v>
      </c>
      <c r="D93" s="16">
        <v>1899665.48</v>
      </c>
      <c r="E93" s="30">
        <v>76226.3</v>
      </c>
      <c r="F93" s="8">
        <f t="shared" si="28"/>
        <v>18996.6548</v>
      </c>
      <c r="G93" s="2">
        <f t="shared" si="29"/>
        <v>40652.841272000005</v>
      </c>
      <c r="H93" s="2">
        <f t="shared" si="30"/>
        <v>284949.82199999999</v>
      </c>
      <c r="I93" s="2">
        <f t="shared" si="31"/>
        <v>2320491.0980719998</v>
      </c>
      <c r="J93" s="14"/>
      <c r="K93" s="14"/>
      <c r="L93" s="14"/>
      <c r="M93" s="14"/>
      <c r="N93" s="14"/>
    </row>
  </sheetData>
  <autoFilter ref="B3:C93"/>
  <mergeCells count="48">
    <mergeCell ref="A1:J1"/>
    <mergeCell ref="K79:K83"/>
    <mergeCell ref="B34:B35"/>
    <mergeCell ref="B39:B40"/>
    <mergeCell ref="B25:B26"/>
    <mergeCell ref="B71:B73"/>
    <mergeCell ref="B67:B70"/>
    <mergeCell ref="B41:B44"/>
    <mergeCell ref="B28:B30"/>
    <mergeCell ref="B31:B33"/>
    <mergeCell ref="B46:B48"/>
    <mergeCell ref="B89:B91"/>
    <mergeCell ref="B56:B59"/>
    <mergeCell ref="B60:B64"/>
    <mergeCell ref="B81:B83"/>
    <mergeCell ref="B49:B53"/>
    <mergeCell ref="B86:B87"/>
    <mergeCell ref="B74:B75"/>
    <mergeCell ref="B76:B78"/>
    <mergeCell ref="B5:B7"/>
    <mergeCell ref="B22:B24"/>
    <mergeCell ref="B9:B10"/>
    <mergeCell ref="B15:B16"/>
    <mergeCell ref="B13:B14"/>
    <mergeCell ref="B17:B21"/>
    <mergeCell ref="A5:A7"/>
    <mergeCell ref="A9:A10"/>
    <mergeCell ref="A13:A14"/>
    <mergeCell ref="A22:A24"/>
    <mergeCell ref="A25:A26"/>
    <mergeCell ref="A28:A30"/>
    <mergeCell ref="A15:A16"/>
    <mergeCell ref="A31:A33"/>
    <mergeCell ref="A17:A21"/>
    <mergeCell ref="A71:A73"/>
    <mergeCell ref="A56:A59"/>
    <mergeCell ref="A34:A35"/>
    <mergeCell ref="A39:A40"/>
    <mergeCell ref="A41:A44"/>
    <mergeCell ref="A46:A48"/>
    <mergeCell ref="A49:A53"/>
    <mergeCell ref="A60:A64"/>
    <mergeCell ref="A67:A70"/>
    <mergeCell ref="A74:A75"/>
    <mergeCell ref="A76:A78"/>
    <mergeCell ref="A81:A83"/>
    <mergeCell ref="A86:A87"/>
    <mergeCell ref="A89:A91"/>
  </mergeCells>
  <pageMargins left="0.11811023622047245" right="0.11811023622047245" top="0.15748031496062992" bottom="0.15748031496062992" header="0.31496062992125984" footer="0.31496062992125984"/>
  <pageSetup paperSize="9" scale="81" fitToHeight="0" orientation="portrait" horizontalDpi="4294967294" verticalDpi="4294967294" r:id="rId1"/>
  <rowBreaks count="1" manualBreakCount="1"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Протоколы ОСС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Рылов</dc:creator>
  <cp:lastModifiedBy>Бочкарева</cp:lastModifiedBy>
  <cp:lastPrinted>2018-02-01T10:00:20Z</cp:lastPrinted>
  <dcterms:created xsi:type="dcterms:W3CDTF">2017-07-06T11:55:22Z</dcterms:created>
  <dcterms:modified xsi:type="dcterms:W3CDTF">2018-02-14T12:55:21Z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-58023017</vt:i4>
  </property>
  <property fmtid="{D5CDD505-2E9C-101B-9397-08002B2CF9AE}" pid="3" name="_NewReviewCycle">
    <vt:lpwstr/>
  </property>
  <property fmtid="{D5CDD505-2E9C-101B-9397-08002B2CF9AE}" pid="4" name="_EmailSubject">
    <vt:lpwstr>для Красавиной А.В.</vt:lpwstr>
  </property>
  <property fmtid="{D5CDD505-2E9C-101B-9397-08002B2CF9AE}" pid="5" name="_AuthorEmail">
    <vt:lpwstr>naumova.ev@cherepovetscity.ru</vt:lpwstr>
  </property>
  <property fmtid="{D5CDD505-2E9C-101B-9397-08002B2CF9AE}" pid="6" name="_AuthorEmailDisplayName">
    <vt:lpwstr>Наумова Елена Владимировна</vt:lpwstr>
  </property>
  <property fmtid="{D5CDD505-2E9C-101B-9397-08002B2CF9AE}" pid="7" name="_ReviewingToolsShownOnce">
    <vt:lpwstr/>
  </property>
</Properties>
</file>